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ain" sheetId="1" r:id="rId1"/>
    <sheet name="Assist" sheetId="2" r:id="rId2"/>
  </sheets>
  <definedNames>
    <definedName name="_xlnm.Print_Area" localSheetId="0">'Main'!$A$1:$J$95</definedName>
  </definedNames>
  <calcPr fullCalcOnLoad="1"/>
</workbook>
</file>

<file path=xl/sharedStrings.xml><?xml version="1.0" encoding="utf-8"?>
<sst xmlns="http://schemas.openxmlformats.org/spreadsheetml/2006/main" count="349" uniqueCount="242">
  <si>
    <t>1.</t>
  </si>
  <si>
    <t>Element score</t>
  </si>
  <si>
    <t>Numerical value</t>
  </si>
  <si>
    <t>Comments</t>
  </si>
  <si>
    <t>Correct technical decisions</t>
  </si>
  <si>
    <t>&lt; from Technical Part</t>
  </si>
  <si>
    <t>Technical competence</t>
  </si>
  <si>
    <t>Average numerical value of category 1:</t>
  </si>
  <si>
    <t>2.</t>
  </si>
  <si>
    <t>Correct use of cert. Documents</t>
  </si>
  <si>
    <t>3.</t>
  </si>
  <si>
    <t>Resources</t>
  </si>
  <si>
    <t>Technical equipment</t>
  </si>
  <si>
    <t>Average numerical value of category 3:</t>
  </si>
  <si>
    <t>4.</t>
  </si>
  <si>
    <t>Management</t>
  </si>
  <si>
    <t>Average numerical value of category 4:</t>
  </si>
  <si>
    <t>5.</t>
  </si>
  <si>
    <t>Performance improvement</t>
  </si>
  <si>
    <t>Average numerical value of category 5:</t>
  </si>
  <si>
    <t>General comments:</t>
  </si>
  <si>
    <t>Category</t>
  </si>
  <si>
    <t>Category average</t>
  </si>
  <si>
    <t>Weight</t>
  </si>
  <si>
    <t>Weighted category average</t>
  </si>
  <si>
    <t>3. Resources</t>
  </si>
  <si>
    <t>4. Management</t>
  </si>
  <si>
    <t>5. Performance improvement</t>
  </si>
  <si>
    <t>Unadjusted total score:</t>
  </si>
  <si>
    <t>PRS Electronic Scoring Sheet - TECHNICAL PART</t>
  </si>
  <si>
    <t xml:space="preserve">A </t>
  </si>
  <si>
    <t xml:space="preserve">B </t>
  </si>
  <si>
    <t xml:space="preserve">C </t>
  </si>
  <si>
    <t xml:space="preserve">D </t>
  </si>
  <si>
    <t xml:space="preserve">E </t>
  </si>
  <si>
    <t>2.2</t>
  </si>
  <si>
    <t>2.3</t>
  </si>
  <si>
    <t>6.</t>
  </si>
  <si>
    <t>7.</t>
  </si>
  <si>
    <t>Element</t>
  </si>
  <si>
    <t>Average</t>
  </si>
  <si>
    <t>Correct technical decision scores</t>
  </si>
  <si>
    <t>Technical competence scores</t>
  </si>
  <si>
    <t>Technical equipment scores</t>
  </si>
  <si>
    <t>Average:</t>
  </si>
  <si>
    <t>Number of element scores of 1+ or less</t>
  </si>
  <si>
    <t>Main:</t>
  </si>
  <si>
    <t>Technical:</t>
  </si>
  <si>
    <t>Total score calculation</t>
  </si>
  <si>
    <t>Total score cleaned for element scores of 1+ or less in Main Part Only:</t>
  </si>
  <si>
    <t>Score cleaned from tech part</t>
  </si>
  <si>
    <t>score</t>
  </si>
  <si>
    <t>Total score cleaned for minimum categories:</t>
  </si>
  <si>
    <t xml:space="preserve"> clean total score for 1+ in tech part</t>
  </si>
  <si>
    <t>Actual total score:</t>
  </si>
  <si>
    <t>Correct certification outcomes</t>
  </si>
  <si>
    <t>Administrative competence</t>
  </si>
  <si>
    <t>Facilities</t>
  </si>
  <si>
    <t>Administration equipment</t>
  </si>
  <si>
    <t>Technical information</t>
  </si>
  <si>
    <t>Certification staff</t>
  </si>
  <si>
    <t>Management of competence</t>
  </si>
  <si>
    <t>Management of facilities</t>
  </si>
  <si>
    <t>Management of equipment</t>
  </si>
  <si>
    <t>Management of time</t>
  </si>
  <si>
    <t>Regular self-assessments</t>
  </si>
  <si>
    <t>Correct handling of complaints</t>
  </si>
  <si>
    <t>VI number</t>
  </si>
  <si>
    <t>VI name</t>
  </si>
  <si>
    <t>Correct entry of certification info</t>
  </si>
  <si>
    <t>Controlled cert. Documents</t>
  </si>
  <si>
    <t>Mgmt of technical information</t>
  </si>
  <si>
    <t>Mgmt of certification documents</t>
  </si>
  <si>
    <t>Mgmt of electronic cert. Info</t>
  </si>
  <si>
    <t>Mgmt of certification staff</t>
  </si>
  <si>
    <t>x 0.50</t>
  </si>
  <si>
    <t>x 0.20</t>
  </si>
  <si>
    <t>x 0.10</t>
  </si>
  <si>
    <t xml:space="preserve">Enter letter of VI responsible for score (one letter only)  </t>
  </si>
  <si>
    <t>WOF</t>
  </si>
  <si>
    <t>COF</t>
  </si>
  <si>
    <t>Repair</t>
  </si>
  <si>
    <t>LVV</t>
  </si>
  <si>
    <t>HV Specialist</t>
  </si>
  <si>
    <t>Review period calculation:</t>
  </si>
  <si>
    <t>0+</t>
  </si>
  <si>
    <t>1-</t>
  </si>
  <si>
    <t>1+</t>
  </si>
  <si>
    <t>2-</t>
  </si>
  <si>
    <t>2+</t>
  </si>
  <si>
    <t>3-</t>
  </si>
  <si>
    <t>IO/Delegate:</t>
  </si>
  <si>
    <t>Reviewer:</t>
  </si>
  <si>
    <t>* if no score is applicable, enter "n/a"</t>
  </si>
  <si>
    <t>Numerical    value</t>
  </si>
  <si>
    <t>Next Review:</t>
  </si>
  <si>
    <t>0 to 1.8</t>
  </si>
  <si>
    <t>1.9 to 2.3</t>
  </si>
  <si>
    <t>2.4 to 2.8</t>
  </si>
  <si>
    <t>2.9 to 3.0</t>
  </si>
  <si>
    <t>Final Outcome:</t>
  </si>
  <si>
    <t>n/a</t>
  </si>
  <si>
    <t>Used Entry</t>
  </si>
  <si>
    <t>New Entry</t>
  </si>
  <si>
    <t>4.1 Headlamps, auxillary headlamps and fog lamps</t>
  </si>
  <si>
    <t>5.1 Glazing</t>
  </si>
  <si>
    <t>9.1 Steering and suspension systems</t>
  </si>
  <si>
    <t>2.1 External projections</t>
  </si>
  <si>
    <t>4.2 Cornering lamps, daytime running lamps</t>
  </si>
  <si>
    <t>4.4 Direction indicator lamps</t>
  </si>
  <si>
    <t>5.2 Windscreen wipe and wash</t>
  </si>
  <si>
    <t>6.1 Door and hinge panel retention systems</t>
  </si>
  <si>
    <t>7.1 Seats and seat anchorages</t>
  </si>
  <si>
    <t>7.3 Head restraints, airbags, and interior impact</t>
  </si>
  <si>
    <t>7.4 Seatbelts and seatbelt anchorages</t>
  </si>
  <si>
    <t>8.1 Service brake and park brake</t>
  </si>
  <si>
    <t>10.1 Tyres, wheels and mudguards</t>
  </si>
  <si>
    <t>10.2 Hubs and axles</t>
  </si>
  <si>
    <t>11.1 Exhaust system and silencer</t>
  </si>
  <si>
    <t>13.1 Engine and drive train</t>
  </si>
  <si>
    <t>4.3 Side lamps, reflectors, registration plate &amp; reversing lamps</t>
  </si>
  <si>
    <t>4.5 Stop lamps, high-mounted stop lamps, aux. stop lamps</t>
  </si>
  <si>
    <t>5.3 Sun visors, rear view mirrors</t>
  </si>
  <si>
    <t>2.1 Unibody chassis rails</t>
  </si>
  <si>
    <t>2.2 Body-over-frame chassis rails</t>
  </si>
  <si>
    <t>2.3 Sills</t>
  </si>
  <si>
    <t>2.4 A-pillars</t>
  </si>
  <si>
    <t>2.5 Other pillars</t>
  </si>
  <si>
    <t>2.6 Bumpers and energy absorbers</t>
  </si>
  <si>
    <t>2.7 Plastic repairs</t>
  </si>
  <si>
    <t>2.8 Points of attachment</t>
  </si>
  <si>
    <t>3.1 Windscreens</t>
  </si>
  <si>
    <t>4.1 Door and hinge panel retention systems</t>
  </si>
  <si>
    <t>5.1 Seats and seat anchorages</t>
  </si>
  <si>
    <t>5.2 Seatbelts and seatbelt anchorages</t>
  </si>
  <si>
    <t>5.3 Airbags</t>
  </si>
  <si>
    <t>5.4 Interior impact</t>
  </si>
  <si>
    <t>6.1 Service brakes and park brakes</t>
  </si>
  <si>
    <t>7.1 Steering and suspension systems</t>
  </si>
  <si>
    <t>1. Vehicle identification</t>
  </si>
  <si>
    <t>2. Compliance with approved standards</t>
  </si>
  <si>
    <t>3. Pre-delivery inspection</t>
  </si>
  <si>
    <t>Heavy Vehicle Specialist</t>
  </si>
  <si>
    <t>3.1 Dimensions</t>
  </si>
  <si>
    <t>4.1 Chassis frame</t>
  </si>
  <si>
    <t>4.2 Cab structure</t>
  </si>
  <si>
    <t>4.3 Steering, suspension and axles</t>
  </si>
  <si>
    <t>4.4 Engine and drive train</t>
  </si>
  <si>
    <t>4.5 Brakes</t>
  </si>
  <si>
    <t>5.1 Seatbelts and seatbelt anchorages</t>
  </si>
  <si>
    <t>5.2 Wheelchair restraints</t>
  </si>
  <si>
    <t>5.3 PSV rollover and stability characteristics</t>
  </si>
  <si>
    <t>6.1 Static rollover threshhold (SRT)</t>
  </si>
  <si>
    <t>7.1 Cranes and hoists</t>
  </si>
  <si>
    <t>8.1 Drawbars, drawbeams and towbars</t>
  </si>
  <si>
    <t>8.2 Fifth wheels and kingpins</t>
  </si>
  <si>
    <t>9.1 Load retention</t>
  </si>
  <si>
    <t>9.2 Logging bolsters</t>
  </si>
  <si>
    <t>10.1 Welding</t>
  </si>
  <si>
    <t>8.1 Three-dimensional chassis measurements</t>
  </si>
  <si>
    <t>8.2 Four-wheel alignment measurements</t>
  </si>
  <si>
    <t>9.1 Water damage</t>
  </si>
  <si>
    <t>9.2 Welding</t>
  </si>
  <si>
    <t>9.3 Replacement components</t>
  </si>
  <si>
    <t>9.4 Corrosion protection</t>
  </si>
  <si>
    <t>10.1 Motorcycle frame and forks</t>
  </si>
  <si>
    <t>10.2 Motorcycle frame and fork measurements</t>
  </si>
  <si>
    <t>1.1 Vehicle Identification</t>
  </si>
  <si>
    <t>7.7 Speedometer, audible warning devices &amp; television sets</t>
  </si>
  <si>
    <t>13.2 Fuel system</t>
  </si>
  <si>
    <t>3.1 Vehicle structure (including frontal impact)</t>
  </si>
  <si>
    <t>dd/mm/yyyy</t>
  </si>
  <si>
    <t>035-00 Braking systems</t>
  </si>
  <si>
    <t>045-30 Disability adaptive hand controls</t>
  </si>
  <si>
    <t>085-40 Engine and drive-train conversions</t>
  </si>
  <si>
    <t>100-30 External projections</t>
  </si>
  <si>
    <t>155-20 Door retention systems</t>
  </si>
  <si>
    <t>155-30 Frontal impact</t>
  </si>
  <si>
    <t>155-40 Interior impact</t>
  </si>
  <si>
    <t>175-00 Seatbelt anchorages</t>
  </si>
  <si>
    <t>184-40 Head restraints</t>
  </si>
  <si>
    <t>185-00 Seats and seat anchorages</t>
  </si>
  <si>
    <t>190-70 Right-hand drive conversions</t>
  </si>
  <si>
    <t>195-00 Suspension sytems</t>
  </si>
  <si>
    <t>200-30 Rear view mirrors</t>
  </si>
  <si>
    <t>205-00 Wheels and tyres</t>
  </si>
  <si>
    <t>090-20 Exhaust noise emissions</t>
  </si>
  <si>
    <t>125-00 Lighting equipment</t>
  </si>
  <si>
    <t>001-00 Vehicle Identification</t>
  </si>
  <si>
    <t>PRS Electronic Scoring Sheet - GENERAL PART</t>
  </si>
  <si>
    <t>&gt; for use in PRS General Part, element 1.2</t>
  </si>
  <si>
    <t>&gt; for use in PRS General Part, element 2.1</t>
  </si>
  <si>
    <t>&gt; for use in PRS General Part, element 3.2</t>
  </si>
  <si>
    <t>Score at last review:</t>
  </si>
  <si>
    <t>Commitment to improvement</t>
  </si>
  <si>
    <t>Average numerical value of category 2:</t>
  </si>
  <si>
    <t>Number 0f "1+"s</t>
  </si>
  <si>
    <t>Technical Performance</t>
  </si>
  <si>
    <t>Administrative Performance</t>
  </si>
  <si>
    <t>1. Technical Performance</t>
  </si>
  <si>
    <t>2. Administrative Performance</t>
  </si>
  <si>
    <t>Total score:</t>
  </si>
  <si>
    <t>Adjusted score</t>
  </si>
  <si>
    <r>
      <t>Total score calculation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(works only with General and Technical Part scores entered)</t>
    </r>
  </si>
  <si>
    <t>Numerical value         VI</t>
  </si>
  <si>
    <t xml:space="preserve">IO number </t>
  </si>
  <si>
    <t xml:space="preserve">IO/delegate </t>
  </si>
  <si>
    <t xml:space="preserve">Reviewer </t>
  </si>
  <si>
    <t xml:space="preserve">Job number </t>
  </si>
  <si>
    <t xml:space="preserve">Certification Type </t>
  </si>
  <si>
    <t xml:space="preserve">Review Date </t>
  </si>
  <si>
    <r>
      <t xml:space="preserve">Technical Part element averages for use in General Part </t>
    </r>
    <r>
      <rPr>
        <i/>
        <sz val="9"/>
        <rFont val="Arial"/>
        <family val="2"/>
      </rPr>
      <t>(works only with Technical Part scores entered)</t>
    </r>
  </si>
  <si>
    <t xml:space="preserve">IO number   </t>
  </si>
  <si>
    <t xml:space="preserve">IO/delegate  </t>
  </si>
  <si>
    <t xml:space="preserve">Reviewer  </t>
  </si>
  <si>
    <t xml:space="preserve">Job number  </t>
  </si>
  <si>
    <r>
      <t xml:space="preserve">(Signed)  </t>
    </r>
    <r>
      <rPr>
        <b/>
        <sz val="10"/>
        <rFont val="Arial"/>
        <family val="2"/>
      </rPr>
      <t xml:space="preserve">          Date: </t>
    </r>
  </si>
  <si>
    <t>.1</t>
  </si>
  <si>
    <t>.2</t>
  </si>
  <si>
    <t>.3</t>
  </si>
  <si>
    <t xml:space="preserve">2.1 Vehicle exterior - Dimensions, external projections </t>
  </si>
  <si>
    <t>4.1 Lighting - Vehicle lighting equipment</t>
  </si>
  <si>
    <t>2.1 Vehicle exterior - Dimensions, external projections &amp; outriggers</t>
  </si>
  <si>
    <t>3.1 Vehicle structure - Structure (including frontal impact)</t>
  </si>
  <si>
    <t>3.2 Vehicle structure - Stability &amp; PSV roof racks</t>
  </si>
  <si>
    <t>5.1 Vision - Glazing, sun visors, wipe &amp; wash &amp; mirrors</t>
  </si>
  <si>
    <t>5.2 Vision - PSV driver's vision &amp; PSV demisters</t>
  </si>
  <si>
    <t>6.1 Entrance &amp; exit - Door and hinge panel retention systems</t>
  </si>
  <si>
    <t>6.2 Entrance &amp; exit - PSV doors, steps, ramps, hoists, emerg. exits</t>
  </si>
  <si>
    <t>7.1 Vehicle interior - Seats, head restraints, seatbelts, airbags, etc</t>
  </si>
  <si>
    <t>7.2 Vehicle interior - PSV seating, aisles, heating, ventilation, etc</t>
  </si>
  <si>
    <t>8.1 Brakes - Service &amp; parking brakes (including trailer brakes)</t>
  </si>
  <si>
    <t>8.2 Brakes - Compressed air brakes</t>
  </si>
  <si>
    <t>9.1 Steering -  Steering and suspension systems</t>
  </si>
  <si>
    <t>10.1 Tyres, wheels &amp; hubs - Tyres, wheels, hubs, axles &amp; mudguards</t>
  </si>
  <si>
    <t>11.1 Exhaust system - Exhaust system and visible smoke</t>
  </si>
  <si>
    <t>12.1 Towing - Light vehicle towing connections (including trailers)</t>
  </si>
  <si>
    <t>12.2 Towing - Heavy vehicle towing connections (including trailers)</t>
  </si>
  <si>
    <t>13.1 Miscellaneous - Engine, transmission, fuel system &amp; alt. fuel</t>
  </si>
  <si>
    <t>13.2 Miscellaneous - HV &amp; PSV electrical wiring</t>
  </si>
  <si>
    <t>15.1 Documentation - Certificate of loading &amp; TSL</t>
  </si>
  <si>
    <t>14.1 Load restraints - Load anchors, stockcrates, log bolsters, etc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</si>
</sst>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d/mm/yy"/>
    <numFmt numFmtId="166" formatCode="mmm\-yyyy"/>
    <numFmt numFmtId="167" formatCode="[$-1409]dddd\,\ d\ mmmm\ yyyy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2" borderId="0" xfId="0" applyNumberFormat="1" applyFill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" fontId="0" fillId="0" borderId="0" xfId="0" applyNumberFormat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0" fillId="3" borderId="0" xfId="0" applyFont="1" applyFill="1" applyAlignment="1">
      <alignment/>
    </xf>
    <xf numFmtId="0" fontId="0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left"/>
      <protection hidden="1"/>
    </xf>
    <xf numFmtId="49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>
      <alignment/>
    </xf>
    <xf numFmtId="0" fontId="1" fillId="3" borderId="0" xfId="0" applyFont="1" applyFill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3" xfId="0" applyFont="1" applyFill="1" applyBorder="1" applyAlignment="1" applyProtection="1">
      <alignment horizontal="left" vertical="center"/>
      <protection hidden="1"/>
    </xf>
    <xf numFmtId="49" fontId="2" fillId="4" borderId="5" xfId="0" applyNumberFormat="1" applyFont="1" applyFill="1" applyBorder="1" applyAlignment="1" applyProtection="1">
      <alignment horizontal="left" vertical="center"/>
      <protection hidden="1"/>
    </xf>
    <xf numFmtId="0" fontId="1" fillId="4" borderId="2" xfId="0" applyNumberFormat="1" applyFont="1" applyFill="1" applyBorder="1" applyAlignment="1" applyProtection="1">
      <alignment vertical="center" wrapText="1"/>
      <protection hidden="1"/>
    </xf>
    <xf numFmtId="164" fontId="1" fillId="4" borderId="2" xfId="0" applyNumberFormat="1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4" borderId="6" xfId="0" applyFont="1" applyFill="1" applyBorder="1" applyAlignment="1">
      <alignment/>
    </xf>
    <xf numFmtId="0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indent="1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7" fillId="5" borderId="0" xfId="0" applyFont="1" applyFill="1" applyBorder="1" applyAlignment="1" applyProtection="1">
      <alignment horizontal="right" vertical="center"/>
      <protection hidden="1"/>
    </xf>
    <xf numFmtId="0" fontId="7" fillId="5" borderId="8" xfId="0" applyFont="1" applyFill="1" applyBorder="1" applyAlignment="1" applyProtection="1">
      <alignment horizontal="right"/>
      <protection hidden="1"/>
    </xf>
    <xf numFmtId="49" fontId="4" fillId="4" borderId="5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vertical="center"/>
      <protection hidden="1"/>
    </xf>
    <xf numFmtId="49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6" borderId="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7" borderId="1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Fill="1" applyBorder="1" applyAlignment="1" applyProtection="1">
      <alignment horizontal="center" vertical="center"/>
      <protection hidden="1"/>
    </xf>
    <xf numFmtId="2" fontId="4" fillId="0" borderId="7" xfId="0" applyNumberFormat="1" applyFont="1" applyFill="1" applyBorder="1" applyAlignment="1" applyProtection="1">
      <alignment horizontal="center" vertical="center"/>
      <protection hidden="1"/>
    </xf>
    <xf numFmtId="0" fontId="0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>
      <alignment/>
    </xf>
    <xf numFmtId="49" fontId="4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2" fontId="0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NumberFormat="1" applyFont="1" applyBorder="1" applyAlignment="1" applyProtection="1">
      <alignment horizontal="center" vertical="center" wrapText="1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locked="0"/>
    </xf>
    <xf numFmtId="164" fontId="0" fillId="6" borderId="10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Border="1" applyAlignment="1">
      <alignment/>
    </xf>
    <xf numFmtId="2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2" fontId="0" fillId="0" borderId="1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 indent="2"/>
      <protection/>
    </xf>
    <xf numFmtId="2" fontId="0" fillId="0" borderId="1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2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4" xfId="0" applyNumberFormat="1" applyFont="1" applyBorder="1" applyAlignment="1" applyProtection="1">
      <alignment horizontal="center" vertical="center" wrapText="1"/>
      <protection hidden="1"/>
    </xf>
    <xf numFmtId="2" fontId="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2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>
      <alignment/>
    </xf>
    <xf numFmtId="164" fontId="4" fillId="0" borderId="1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6" borderId="17" xfId="0" applyFont="1" applyFill="1" applyBorder="1" applyAlignment="1" applyProtection="1">
      <alignment horizontal="right"/>
      <protection hidden="1"/>
    </xf>
    <xf numFmtId="166" fontId="8" fillId="6" borderId="17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Alignment="1" applyProtection="1">
      <alignment/>
      <protection/>
    </xf>
    <xf numFmtId="0" fontId="0" fillId="6" borderId="4" xfId="0" applyFont="1" applyFill="1" applyBorder="1" applyAlignment="1" applyProtection="1">
      <alignment horizontal="left"/>
      <protection locked="0"/>
    </xf>
    <xf numFmtId="0" fontId="2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right"/>
      <protection hidden="1"/>
    </xf>
    <xf numFmtId="14" fontId="0" fillId="3" borderId="0" xfId="0" applyNumberFormat="1" applyFont="1" applyFill="1" applyAlignment="1">
      <alignment/>
    </xf>
    <xf numFmtId="0" fontId="0" fillId="4" borderId="1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6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164" fontId="0" fillId="6" borderId="10" xfId="0" applyNumberFormat="1" applyFont="1" applyFill="1" applyBorder="1" applyAlignment="1" applyProtection="1">
      <alignment horizontal="center" vertical="center"/>
      <protection locked="0"/>
    </xf>
    <xf numFmtId="0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7" borderId="11" xfId="0" applyNumberFormat="1" applyFont="1" applyFill="1" applyBorder="1" applyAlignment="1" applyProtection="1">
      <alignment horizontal="center" vertical="center"/>
      <protection hidden="1"/>
    </xf>
    <xf numFmtId="164" fontId="0" fillId="0" borderId="19" xfId="0" applyNumberFormat="1" applyFont="1" applyFill="1" applyBorder="1" applyAlignment="1" applyProtection="1">
      <alignment horizontal="center" vertical="center"/>
      <protection hidden="1"/>
    </xf>
    <xf numFmtId="164" fontId="0" fillId="7" borderId="11" xfId="0" applyNumberFormat="1" applyFont="1" applyFill="1" applyBorder="1" applyAlignment="1" applyProtection="1">
      <alignment horizontal="left" vertical="center"/>
      <protection hidden="1"/>
    </xf>
    <xf numFmtId="164" fontId="0" fillId="0" borderId="20" xfId="0" applyNumberFormat="1" applyFont="1" applyFill="1" applyBorder="1" applyAlignment="1" applyProtection="1">
      <alignment horizontal="center" vertical="center"/>
      <protection hidden="1"/>
    </xf>
    <xf numFmtId="164" fontId="0" fillId="7" borderId="10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left" vertical="center"/>
      <protection hidden="1"/>
    </xf>
    <xf numFmtId="0" fontId="0" fillId="4" borderId="0" xfId="0" applyNumberFormat="1" applyFont="1" applyFill="1" applyBorder="1" applyAlignment="1" applyProtection="1">
      <alignment vertical="center" wrapText="1"/>
      <protection hidden="1"/>
    </xf>
    <xf numFmtId="0" fontId="0" fillId="4" borderId="6" xfId="0" applyFont="1" applyFill="1" applyBorder="1" applyAlignment="1" applyProtection="1">
      <alignment vertical="center"/>
      <protection hidden="1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vertical="center"/>
      <protection hidden="1"/>
    </xf>
    <xf numFmtId="164" fontId="0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4" xfId="0" applyFont="1" applyFill="1" applyBorder="1" applyAlignment="1" applyProtection="1">
      <alignment horizontal="right"/>
      <protection hidden="1"/>
    </xf>
    <xf numFmtId="0" fontId="1" fillId="3" borderId="0" xfId="0" applyFont="1" applyFill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 hidden="1"/>
    </xf>
    <xf numFmtId="0" fontId="4" fillId="3" borderId="0" xfId="0" applyFont="1" applyFill="1" applyAlignment="1">
      <alignment/>
    </xf>
    <xf numFmtId="0" fontId="9" fillId="6" borderId="9" xfId="0" applyNumberFormat="1" applyFont="1" applyFill="1" applyBorder="1" applyAlignment="1" applyProtection="1">
      <alignment horizontal="left" vertical="center"/>
      <protection locked="0"/>
    </xf>
    <xf numFmtId="0" fontId="9" fillId="6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9" xfId="0" applyNumberFormat="1" applyFont="1" applyFill="1" applyBorder="1" applyAlignment="1" applyProtection="1">
      <alignment horizontal="left" vertical="center"/>
      <protection hidden="1"/>
    </xf>
    <xf numFmtId="0" fontId="9" fillId="0" borderId="10" xfId="0" applyNumberFormat="1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/>
      <protection hidden="1"/>
    </xf>
    <xf numFmtId="0" fontId="0" fillId="6" borderId="4" xfId="0" applyFont="1" applyFill="1" applyBorder="1" applyAlignment="1" applyProtection="1">
      <alignment horizontal="left"/>
      <protection locked="0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0" fontId="1" fillId="6" borderId="6" xfId="0" applyNumberFormat="1" applyFont="1" applyFill="1" applyBorder="1" applyAlignment="1" applyProtection="1">
      <alignment horizontal="left" vertical="center"/>
      <protection locked="0"/>
    </xf>
    <xf numFmtId="0" fontId="1" fillId="6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left" vertical="center" wrapText="1"/>
      <protection hidden="1"/>
    </xf>
    <xf numFmtId="0" fontId="1" fillId="4" borderId="18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horizontal="right" vertical="center"/>
      <protection hidden="1"/>
    </xf>
    <xf numFmtId="0" fontId="1" fillId="6" borderId="23" xfId="0" applyNumberFormat="1" applyFont="1" applyFill="1" applyBorder="1" applyAlignment="1" applyProtection="1">
      <alignment horizontal="left" vertical="center"/>
      <protection locked="0"/>
    </xf>
    <xf numFmtId="0" fontId="1" fillId="6" borderId="24" xfId="0" applyNumberFormat="1" applyFont="1" applyFill="1" applyBorder="1" applyAlignment="1" applyProtection="1">
      <alignment horizontal="left" vertical="center"/>
      <protection locked="0"/>
    </xf>
    <xf numFmtId="0" fontId="1" fillId="6" borderId="25" xfId="0" applyNumberFormat="1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1" fillId="6" borderId="26" xfId="0" applyNumberFormat="1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 wrapText="1"/>
      <protection hidden="1"/>
    </xf>
    <xf numFmtId="0" fontId="0" fillId="4" borderId="0" xfId="0" applyFont="1" applyFill="1" applyBorder="1" applyAlignment="1" applyProtection="1">
      <alignment horizontal="center" wrapText="1"/>
      <protection hidden="1"/>
    </xf>
    <xf numFmtId="0" fontId="0" fillId="4" borderId="6" xfId="0" applyFont="1" applyFill="1" applyBorder="1" applyAlignment="1" applyProtection="1">
      <alignment horizontal="center" wrapText="1"/>
      <protection hidden="1"/>
    </xf>
    <xf numFmtId="0" fontId="1" fillId="6" borderId="27" xfId="0" applyNumberFormat="1" applyFont="1" applyFill="1" applyBorder="1" applyAlignment="1" applyProtection="1">
      <alignment horizontal="left" vertical="center"/>
      <protection locked="0"/>
    </xf>
    <xf numFmtId="0" fontId="1" fillId="6" borderId="28" xfId="0" applyNumberFormat="1" applyFont="1" applyFill="1" applyBorder="1" applyAlignment="1" applyProtection="1">
      <alignment horizontal="left" vertical="center"/>
      <protection locked="0"/>
    </xf>
    <xf numFmtId="0" fontId="1" fillId="6" borderId="29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1" fillId="4" borderId="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4" borderId="34" xfId="0" applyFont="1" applyFill="1" applyBorder="1" applyAlignment="1" applyProtection="1">
      <alignment horizontal="center" vertical="center"/>
      <protection hidden="1"/>
    </xf>
    <xf numFmtId="0" fontId="1" fillId="6" borderId="23" xfId="0" applyFont="1" applyFill="1" applyBorder="1" applyAlignment="1" applyProtection="1">
      <alignment horizontal="left" vertical="center"/>
      <protection hidden="1"/>
    </xf>
    <xf numFmtId="0" fontId="1" fillId="6" borderId="24" xfId="0" applyFont="1" applyFill="1" applyBorder="1" applyAlignment="1" applyProtection="1">
      <alignment horizontal="left" vertical="center"/>
      <protection hidden="1"/>
    </xf>
    <xf numFmtId="0" fontId="1" fillId="6" borderId="25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2" fillId="4" borderId="28" xfId="0" applyFont="1" applyFill="1" applyBorder="1" applyAlignment="1" applyProtection="1">
      <alignment horizontal="center" vertical="center"/>
      <protection hidden="1"/>
    </xf>
    <xf numFmtId="0" fontId="2" fillId="4" borderId="29" xfId="0" applyFont="1" applyFill="1" applyBorder="1" applyAlignment="1" applyProtection="1">
      <alignment horizontal="center" vertical="center"/>
      <protection hidden="1"/>
    </xf>
    <xf numFmtId="49" fontId="0" fillId="0" borderId="1" xfId="0" applyNumberFormat="1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0" fontId="0" fillId="0" borderId="36" xfId="0" applyFont="1" applyFill="1" applyBorder="1" applyAlignment="1" applyProtection="1">
      <alignment horizontal="left" vertical="center"/>
      <protection hidden="1"/>
    </xf>
    <xf numFmtId="0" fontId="1" fillId="6" borderId="27" xfId="0" applyFont="1" applyFill="1" applyBorder="1" applyAlignment="1" applyProtection="1">
      <alignment horizontal="left" vertical="center" wrapText="1"/>
      <protection locked="0"/>
    </xf>
    <xf numFmtId="0" fontId="1" fillId="6" borderId="28" xfId="0" applyFont="1" applyFill="1" applyBorder="1" applyAlignment="1" applyProtection="1">
      <alignment horizontal="left" vertical="center" wrapText="1"/>
      <protection locked="0"/>
    </xf>
    <xf numFmtId="0" fontId="1" fillId="6" borderId="29" xfId="0" applyFont="1" applyFill="1" applyBorder="1" applyAlignment="1" applyProtection="1">
      <alignment horizontal="left" vertical="center" wrapText="1"/>
      <protection locked="0"/>
    </xf>
    <xf numFmtId="0" fontId="1" fillId="6" borderId="23" xfId="0" applyFont="1" applyFill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 applyProtection="1">
      <alignment horizontal="left" vertical="center" wrapText="1"/>
      <protection locked="0"/>
    </xf>
    <xf numFmtId="0" fontId="1" fillId="6" borderId="25" xfId="0" applyFont="1" applyFill="1" applyBorder="1" applyAlignment="1" applyProtection="1">
      <alignment horizontal="left" vertical="center" wrapText="1"/>
      <protection locked="0"/>
    </xf>
    <xf numFmtId="49" fontId="6" fillId="4" borderId="1" xfId="0" applyNumberFormat="1" applyFont="1" applyFill="1" applyBorder="1" applyAlignment="1" applyProtection="1">
      <alignment horizontal="left" vertical="center" wrapText="1"/>
      <protection hidden="1"/>
    </xf>
    <xf numFmtId="49" fontId="6" fillId="4" borderId="0" xfId="0" applyNumberFormat="1" applyFont="1" applyFill="1" applyBorder="1" applyAlignment="1" applyProtection="1">
      <alignment horizontal="left" vertical="center" wrapText="1"/>
      <protection hidden="1"/>
    </xf>
    <xf numFmtId="0" fontId="6" fillId="4" borderId="0" xfId="0" applyFont="1" applyFill="1" applyBorder="1" applyAlignment="1" applyProtection="1">
      <alignment horizontal="left" vertical="center" wrapText="1"/>
      <protection hidden="1"/>
    </xf>
    <xf numFmtId="49" fontId="0" fillId="0" borderId="5" xfId="0" applyNumberFormat="1" applyFont="1" applyBorder="1" applyAlignment="1" applyProtection="1">
      <alignment horizontal="left" vertical="center"/>
      <protection hidden="1"/>
    </xf>
    <xf numFmtId="49" fontId="0" fillId="0" borderId="2" xfId="0" applyNumberFormat="1" applyFont="1" applyBorder="1" applyAlignment="1" applyProtection="1">
      <alignment horizontal="left" vertical="center"/>
      <protection hidden="1"/>
    </xf>
    <xf numFmtId="0" fontId="6" fillId="4" borderId="4" xfId="0" applyFont="1" applyFill="1" applyBorder="1" applyAlignment="1" applyProtection="1">
      <alignment horizontal="right" vertical="center" wrapText="1"/>
      <protection hidden="1"/>
    </xf>
    <xf numFmtId="0" fontId="1" fillId="4" borderId="4" xfId="0" applyFont="1" applyFill="1" applyBorder="1" applyAlignment="1" applyProtection="1">
      <alignment horizontal="right"/>
      <protection hidden="1"/>
    </xf>
    <xf numFmtId="49" fontId="0" fillId="0" borderId="3" xfId="0" applyNumberFormat="1" applyFont="1" applyBorder="1" applyAlignment="1" applyProtection="1">
      <alignment horizontal="left" vertical="center"/>
      <protection hidden="1"/>
    </xf>
    <xf numFmtId="49" fontId="0" fillId="0" borderId="4" xfId="0" applyNumberFormat="1" applyFont="1" applyBorder="1" applyAlignment="1" applyProtection="1">
      <alignment horizontal="left" vertical="center"/>
      <protection hidden="1"/>
    </xf>
    <xf numFmtId="164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6" borderId="24" xfId="0" applyNumberFormat="1" applyFont="1" applyFill="1" applyBorder="1" applyAlignment="1" applyProtection="1">
      <alignment horizontal="left" vertical="center"/>
      <protection locked="0"/>
    </xf>
    <xf numFmtId="0" fontId="0" fillId="6" borderId="37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/>
      <protection hidden="1"/>
    </xf>
    <xf numFmtId="0" fontId="0" fillId="6" borderId="37" xfId="0" applyNumberFormat="1" applyFont="1" applyFill="1" applyBorder="1" applyAlignment="1" applyProtection="1">
      <alignment horizontal="left"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/>
      <protection hidden="1"/>
    </xf>
    <xf numFmtId="49" fontId="4" fillId="0" borderId="39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top"/>
      <protection hidden="1"/>
    </xf>
    <xf numFmtId="0" fontId="0" fillId="6" borderId="23" xfId="0" applyFont="1" applyFill="1" applyBorder="1" applyAlignment="1" applyProtection="1">
      <alignment horizontal="left" vertical="center"/>
      <protection locked="0"/>
    </xf>
    <xf numFmtId="0" fontId="0" fillId="6" borderId="25" xfId="0" applyFont="1" applyFill="1" applyBorder="1" applyAlignment="1" applyProtection="1">
      <alignment horizontal="left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14" fontId="9" fillId="0" borderId="23" xfId="0" applyNumberFormat="1" applyFont="1" applyBorder="1" applyAlignment="1" applyProtection="1">
      <alignment horizontal="center"/>
      <protection hidden="1"/>
    </xf>
    <xf numFmtId="14" fontId="9" fillId="0" borderId="25" xfId="0" applyNumberFormat="1" applyFont="1" applyBorder="1" applyAlignment="1" applyProtection="1">
      <alignment horizontal="center"/>
      <protection hidden="1"/>
    </xf>
    <xf numFmtId="0" fontId="0" fillId="6" borderId="23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hidden="1"/>
    </xf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0" fillId="4" borderId="2" xfId="0" applyFont="1" applyFill="1" applyBorder="1" applyAlignment="1">
      <alignment/>
    </xf>
    <xf numFmtId="0" fontId="1" fillId="6" borderId="31" xfId="0" applyFont="1" applyFill="1" applyBorder="1" applyAlignment="1" applyProtection="1">
      <alignment horizontal="left" vertical="center" wrapText="1"/>
      <protection locked="0"/>
    </xf>
    <xf numFmtId="0" fontId="1" fillId="6" borderId="32" xfId="0" applyFont="1" applyFill="1" applyBorder="1" applyAlignment="1" applyProtection="1">
      <alignment horizontal="left" vertical="center" wrapText="1"/>
      <protection locked="0"/>
    </xf>
    <xf numFmtId="0" fontId="0" fillId="4" borderId="18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7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5" borderId="36" xfId="0" applyNumberFormat="1" applyFont="1" applyFill="1" applyBorder="1" applyAlignment="1" applyProtection="1">
      <alignment horizontal="right" vertical="center" wrapText="1"/>
      <protection hidden="1"/>
    </xf>
    <xf numFmtId="0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26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7" fillId="5" borderId="41" xfId="0" applyNumberFormat="1" applyFont="1" applyFill="1" applyBorder="1" applyAlignment="1" applyProtection="1">
      <alignment horizontal="right" vertical="center" wrapText="1"/>
      <protection hidden="1"/>
    </xf>
    <xf numFmtId="0" fontId="7" fillId="5" borderId="42" xfId="0" applyNumberFormat="1" applyFont="1" applyFill="1" applyBorder="1" applyAlignment="1" applyProtection="1">
      <alignment horizontal="right" vertical="center" wrapText="1"/>
      <protection hidden="1"/>
    </xf>
    <xf numFmtId="0" fontId="7" fillId="5" borderId="20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left" vertical="center"/>
      <protection hidden="1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2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center"/>
    </xf>
    <xf numFmtId="0" fontId="9" fillId="6" borderId="43" xfId="0" applyFont="1" applyFill="1" applyBorder="1" applyAlignment="1" applyProtection="1">
      <alignment horizontal="center" vertical="center"/>
      <protection locked="0"/>
    </xf>
    <xf numFmtId="0" fontId="9" fillId="6" borderId="34" xfId="0" applyFont="1" applyFill="1" applyBorder="1" applyAlignment="1" applyProtection="1">
      <alignment horizontal="center" vertical="center"/>
      <protection locked="0"/>
    </xf>
    <xf numFmtId="14" fontId="9" fillId="6" borderId="19" xfId="0" applyNumberFormat="1" applyFont="1" applyFill="1" applyBorder="1" applyAlignment="1" applyProtection="1">
      <alignment horizontal="center"/>
      <protection locked="0"/>
    </xf>
    <xf numFmtId="14" fontId="9" fillId="6" borderId="21" xfId="0" applyNumberFormat="1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 vertical="top"/>
      <protection hidden="1"/>
    </xf>
    <xf numFmtId="0" fontId="2" fillId="4" borderId="34" xfId="0" applyFont="1" applyFill="1" applyBorder="1" applyAlignment="1" applyProtection="1">
      <alignment horizontal="center" vertical="top"/>
      <protection hidden="1"/>
    </xf>
    <xf numFmtId="0" fontId="9" fillId="6" borderId="27" xfId="0" applyFont="1" applyFill="1" applyBorder="1" applyAlignment="1" applyProtection="1">
      <alignment horizontal="left" vertical="center"/>
      <protection locked="0"/>
    </xf>
    <xf numFmtId="0" fontId="9" fillId="6" borderId="28" xfId="0" applyFont="1" applyFill="1" applyBorder="1" applyAlignment="1" applyProtection="1">
      <alignment horizontal="left" vertical="center"/>
      <protection locked="0"/>
    </xf>
    <xf numFmtId="0" fontId="9" fillId="6" borderId="20" xfId="0" applyNumberFormat="1" applyFont="1" applyFill="1" applyBorder="1" applyAlignment="1" applyProtection="1">
      <alignment horizontal="left" vertical="center"/>
      <protection locked="0"/>
    </xf>
    <xf numFmtId="0" fontId="9" fillId="6" borderId="42" xfId="0" applyFont="1" applyFill="1" applyBorder="1" applyAlignment="1" applyProtection="1">
      <alignment horizontal="left" vertical="center"/>
      <protection locked="0"/>
    </xf>
    <xf numFmtId="0" fontId="7" fillId="5" borderId="26" xfId="0" applyNumberFormat="1" applyFont="1" applyFill="1" applyBorder="1" applyAlignment="1" applyProtection="1">
      <alignment horizontal="right" vertical="center" wrapText="1"/>
      <protection hidden="1"/>
    </xf>
    <xf numFmtId="0" fontId="0" fillId="6" borderId="1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14" fontId="0" fillId="6" borderId="4" xfId="0" applyNumberFormat="1" applyFont="1" applyFill="1" applyBorder="1" applyAlignment="1" applyProtection="1">
      <alignment horizontal="center"/>
      <protection hidden="1"/>
    </xf>
    <xf numFmtId="14" fontId="0" fillId="6" borderId="21" xfId="0" applyNumberFormat="1" applyFont="1" applyFill="1" applyBorder="1" applyAlignment="1" applyProtection="1">
      <alignment horizontal="center"/>
      <protection hidden="1"/>
    </xf>
    <xf numFmtId="166" fontId="8" fillId="6" borderId="17" xfId="0" applyNumberFormat="1" applyFont="1" applyFill="1" applyBorder="1" applyAlignment="1" applyProtection="1">
      <alignment horizontal="center"/>
      <protection hidden="1"/>
    </xf>
    <xf numFmtId="166" fontId="8" fillId="6" borderId="44" xfId="0" applyNumberFormat="1" applyFont="1" applyFill="1" applyBorder="1" applyAlignment="1" applyProtection="1">
      <alignment horizontal="center"/>
      <protection hidden="1"/>
    </xf>
    <xf numFmtId="0" fontId="1" fillId="6" borderId="27" xfId="0" applyFont="1" applyFill="1" applyBorder="1" applyAlignment="1" applyProtection="1">
      <alignment horizontal="left" vertical="center"/>
      <protection hidden="1"/>
    </xf>
    <xf numFmtId="0" fontId="1" fillId="6" borderId="28" xfId="0" applyFont="1" applyFill="1" applyBorder="1" applyAlignment="1" applyProtection="1">
      <alignment horizontal="left" vertical="center"/>
      <protection hidden="1"/>
    </xf>
    <xf numFmtId="0" fontId="1" fillId="6" borderId="29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0" fillId="4" borderId="28" xfId="0" applyFont="1" applyFill="1" applyBorder="1" applyAlignment="1" applyProtection="1">
      <alignment horizontal="center"/>
      <protection hidden="1"/>
    </xf>
    <xf numFmtId="0" fontId="0" fillId="4" borderId="29" xfId="0" applyFont="1" applyFill="1" applyBorder="1" applyAlignment="1" applyProtection="1">
      <alignment horizontal="center"/>
      <protection hidden="1"/>
    </xf>
    <xf numFmtId="0" fontId="0" fillId="4" borderId="18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6" borderId="45" xfId="0" applyFont="1" applyFill="1" applyBorder="1" applyAlignment="1" applyProtection="1">
      <alignment horizontal="left" wrapText="1"/>
      <protection locked="0"/>
    </xf>
    <xf numFmtId="0" fontId="1" fillId="6" borderId="31" xfId="0" applyFont="1" applyFill="1" applyBorder="1" applyAlignment="1" applyProtection="1">
      <alignment horizontal="left" wrapText="1"/>
      <protection locked="0"/>
    </xf>
    <xf numFmtId="0" fontId="1" fillId="6" borderId="32" xfId="0" applyFont="1" applyFill="1" applyBorder="1" applyAlignment="1" applyProtection="1">
      <alignment horizontal="left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" fillId="4" borderId="21" xfId="0" applyFont="1" applyFill="1" applyBorder="1" applyAlignment="1" applyProtection="1">
      <alignment horizontal="left"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9FF"/>
      <rgbColor rgb="00FFFFCC"/>
      <rgbColor rgb="00660066"/>
      <rgbColor rgb="00FF8080"/>
      <rgbColor rgb="000066CC"/>
      <rgbColor rgb="00CCCCFF"/>
      <rgbColor rgb="0000456A"/>
      <rgbColor rgb="00FF00FF"/>
      <rgbColor rgb="00FFFF00"/>
      <rgbColor rgb="0000FFFF"/>
      <rgbColor rgb="00800080"/>
      <rgbColor rgb="00800000"/>
      <rgbColor rgb="00008080"/>
      <rgbColor rgb="0000598A"/>
      <rgbColor rgb="0000CCFF"/>
      <rgbColor rgb="00CCFFFF"/>
      <rgbColor rgb="00DCE77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54</xdr:row>
      <xdr:rowOff>0</xdr:rowOff>
    </xdr:from>
    <xdr:to>
      <xdr:col>4</xdr:col>
      <xdr:colOff>9525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24125" y="11039475"/>
          <a:ext cx="23812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54</xdr:row>
      <xdr:rowOff>0</xdr:rowOff>
    </xdr:from>
    <xdr:to>
      <xdr:col>4</xdr:col>
      <xdr:colOff>0</xdr:colOff>
      <xdr:row>59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2752725" y="11039475"/>
          <a:ext cx="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19050</xdr:rowOff>
    </xdr:from>
    <xdr:to>
      <xdr:col>5</xdr:col>
      <xdr:colOff>228600</xdr:colOff>
      <xdr:row>60</xdr:row>
      <xdr:rowOff>85725</xdr:rowOff>
    </xdr:to>
    <xdr:sp>
      <xdr:nvSpPr>
        <xdr:cNvPr id="3" name="Polygon 4"/>
        <xdr:cNvSpPr>
          <a:spLocks/>
        </xdr:cNvSpPr>
      </xdr:nvSpPr>
      <xdr:spPr>
        <a:xfrm>
          <a:off x="2686050" y="11868150"/>
          <a:ext cx="819150" cy="200025"/>
        </a:xfrm>
        <a:custGeom>
          <a:pathLst>
            <a:path h="34" w="181">
              <a:moveTo>
                <a:pt x="0" y="0"/>
              </a:moveTo>
              <a:lnTo>
                <a:pt x="0" y="17"/>
              </a:lnTo>
              <a:lnTo>
                <a:pt x="181" y="17"/>
              </a:lnTo>
              <a:lnTo>
                <a:pt x="181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0"/>
  <sheetViews>
    <sheetView tabSelected="1" zoomScale="90" zoomScaleNormal="90" zoomScaleSheetLayoutView="90" workbookViewId="0" topLeftCell="A52">
      <selection activeCell="K2" sqref="K2"/>
    </sheetView>
  </sheetViews>
  <sheetFormatPr defaultColWidth="9.140625" defaultRowHeight="12.75"/>
  <cols>
    <col min="1" max="1" width="4.28125" style="41" customWidth="1"/>
    <col min="2" max="2" width="10.57421875" style="41" customWidth="1"/>
    <col min="3" max="3" width="18.28125" style="41" customWidth="1"/>
    <col min="4" max="4" width="8.140625" style="41" customWidth="1"/>
    <col min="5" max="5" width="7.8515625" style="41" customWidth="1"/>
    <col min="6" max="6" width="6.00390625" style="41" customWidth="1"/>
    <col min="7" max="7" width="13.140625" style="41" customWidth="1"/>
    <col min="8" max="8" width="17.8515625" style="41" customWidth="1"/>
    <col min="9" max="9" width="10.8515625" style="41" customWidth="1"/>
    <col min="10" max="10" width="2.57421875" style="41" customWidth="1"/>
    <col min="11" max="11" width="4.421875" style="41" customWidth="1"/>
    <col min="12" max="25" width="9.140625" style="41" customWidth="1"/>
    <col min="26" max="26" width="14.28125" style="41" customWidth="1"/>
    <col min="27" max="31" width="9.140625" style="41" customWidth="1"/>
    <col min="32" max="32" width="15.7109375" style="41" customWidth="1"/>
    <col min="33" max="16384" width="9.140625" style="41" customWidth="1"/>
  </cols>
  <sheetData>
    <row r="1" spans="1:26" s="14" customFormat="1" ht="24.75" customHeight="1" thickBot="1">
      <c r="A1" s="217" t="s">
        <v>189</v>
      </c>
      <c r="B1" s="217"/>
      <c r="C1" s="217"/>
      <c r="D1" s="217"/>
      <c r="E1" s="217"/>
      <c r="F1" s="217"/>
      <c r="G1" s="217"/>
      <c r="H1" s="217"/>
      <c r="I1" s="217"/>
      <c r="J1" s="217"/>
      <c r="K1" s="15"/>
      <c r="Y1" s="15"/>
      <c r="Z1" s="15"/>
    </row>
    <row r="2" spans="1:27" s="14" customFormat="1" ht="18" customHeight="1">
      <c r="A2" s="232" t="s">
        <v>214</v>
      </c>
      <c r="B2" s="233"/>
      <c r="C2" s="140"/>
      <c r="D2" s="234" t="s">
        <v>212</v>
      </c>
      <c r="E2" s="234"/>
      <c r="F2" s="253"/>
      <c r="G2" s="254"/>
      <c r="H2" s="42" t="s">
        <v>209</v>
      </c>
      <c r="I2" s="245"/>
      <c r="J2" s="246"/>
      <c r="K2" s="15"/>
      <c r="N2" s="15"/>
      <c r="Z2" s="16" t="s">
        <v>79</v>
      </c>
      <c r="AA2" s="17">
        <v>0</v>
      </c>
    </row>
    <row r="3" spans="1:27" s="14" customFormat="1" ht="18" customHeight="1" thickBot="1">
      <c r="A3" s="232" t="s">
        <v>215</v>
      </c>
      <c r="B3" s="233"/>
      <c r="C3" s="141"/>
      <c r="D3" s="255" t="s">
        <v>213</v>
      </c>
      <c r="E3" s="233"/>
      <c r="F3" s="251"/>
      <c r="G3" s="252"/>
      <c r="H3" s="43" t="s">
        <v>210</v>
      </c>
      <c r="I3" s="247"/>
      <c r="J3" s="248"/>
      <c r="K3" s="15"/>
      <c r="Z3" s="16" t="s">
        <v>80</v>
      </c>
      <c r="AA3" s="16" t="s">
        <v>85</v>
      </c>
    </row>
    <row r="4" spans="1:27" s="19" customFormat="1" ht="24">
      <c r="A4" s="44" t="s">
        <v>0</v>
      </c>
      <c r="B4" s="45" t="s">
        <v>197</v>
      </c>
      <c r="C4" s="45"/>
      <c r="D4" s="91" t="s">
        <v>1</v>
      </c>
      <c r="E4" s="153" t="s">
        <v>2</v>
      </c>
      <c r="F4" s="154"/>
      <c r="G4" s="152" t="s">
        <v>3</v>
      </c>
      <c r="H4" s="152"/>
      <c r="I4" s="249" t="s">
        <v>171</v>
      </c>
      <c r="J4" s="250"/>
      <c r="K4" s="134"/>
      <c r="Z4" s="12" t="s">
        <v>102</v>
      </c>
      <c r="AA4" s="12" t="s">
        <v>86</v>
      </c>
    </row>
    <row r="5" spans="1:27" s="19" customFormat="1" ht="13.5" customHeight="1">
      <c r="A5" s="46">
        <v>1.1</v>
      </c>
      <c r="B5" s="151" t="s">
        <v>55</v>
      </c>
      <c r="C5" s="151"/>
      <c r="D5" s="48">
        <v>3</v>
      </c>
      <c r="E5" s="49">
        <f>IF(AND(ISNUMBER(D5),D5&lt;=3,OR(D5=0,D5=1,D5=2,D5=3)),D5,IF(OR(D5="0+",D5="0 +"),0.3,IF(OR(D5="1-",D5="1 -"),0.7,IF(OR(D5="1+",D5="1 +"),1.3,IF(OR(D5="2-",D5="2 -"),1.7,IF(OR(D5="2+",D5="2 +"),2.3,IF(OR(D5="3-",D5="3 -"),2.7,"invalid ")))))))</f>
        <v>3</v>
      </c>
      <c r="F5" s="166"/>
      <c r="G5" s="167"/>
      <c r="H5" s="167"/>
      <c r="I5" s="167"/>
      <c r="J5" s="168"/>
      <c r="K5" s="134"/>
      <c r="Z5" s="12" t="s">
        <v>81</v>
      </c>
      <c r="AA5" s="20">
        <v>1</v>
      </c>
    </row>
    <row r="6" spans="1:27" s="19" customFormat="1" ht="13.5" customHeight="1">
      <c r="A6" s="46">
        <v>1.2</v>
      </c>
      <c r="B6" s="180" t="s">
        <v>4</v>
      </c>
      <c r="C6" s="180"/>
      <c r="D6" s="51"/>
      <c r="E6" s="52">
        <f>E93</f>
        <v>3</v>
      </c>
      <c r="F6" s="263" t="s">
        <v>5</v>
      </c>
      <c r="G6" s="264"/>
      <c r="H6" s="264"/>
      <c r="I6" s="264"/>
      <c r="J6" s="265"/>
      <c r="K6" s="134"/>
      <c r="Z6" s="12" t="s">
        <v>82</v>
      </c>
      <c r="AA6" s="12" t="s">
        <v>87</v>
      </c>
    </row>
    <row r="7" spans="1:27" s="19" customFormat="1" ht="13.5" customHeight="1" thickBot="1">
      <c r="A7" s="53">
        <v>1.3</v>
      </c>
      <c r="B7" s="180" t="s">
        <v>6</v>
      </c>
      <c r="C7" s="180"/>
      <c r="D7" s="51"/>
      <c r="E7" s="54">
        <f>E94</f>
        <v>3</v>
      </c>
      <c r="F7" s="183" t="s">
        <v>5</v>
      </c>
      <c r="G7" s="184"/>
      <c r="H7" s="184"/>
      <c r="I7" s="184"/>
      <c r="J7" s="185"/>
      <c r="K7" s="134"/>
      <c r="Z7" s="12" t="s">
        <v>103</v>
      </c>
      <c r="AA7" s="12" t="s">
        <v>88</v>
      </c>
    </row>
    <row r="8" spans="1:27" s="19" customFormat="1" ht="13.5" customHeight="1" thickBot="1">
      <c r="A8" s="18"/>
      <c r="B8" s="155" t="s">
        <v>7</v>
      </c>
      <c r="C8" s="155"/>
      <c r="D8" s="155"/>
      <c r="E8" s="55">
        <f>AVERAGE(E5:E7)</f>
        <v>3</v>
      </c>
      <c r="F8" s="266"/>
      <c r="G8" s="267"/>
      <c r="H8" s="267"/>
      <c r="I8" s="267"/>
      <c r="J8" s="268"/>
      <c r="K8" s="134"/>
      <c r="Z8" s="12" t="s">
        <v>83</v>
      </c>
      <c r="AA8" s="20">
        <v>2</v>
      </c>
    </row>
    <row r="9" spans="1:27" s="19" customFormat="1" ht="24">
      <c r="A9" s="44" t="s">
        <v>8</v>
      </c>
      <c r="B9" s="45" t="s">
        <v>198</v>
      </c>
      <c r="C9" s="45"/>
      <c r="D9" s="92" t="s">
        <v>1</v>
      </c>
      <c r="E9" s="153" t="s">
        <v>94</v>
      </c>
      <c r="F9" s="176"/>
      <c r="G9" s="159" t="s">
        <v>3</v>
      </c>
      <c r="H9" s="159"/>
      <c r="I9" s="269"/>
      <c r="J9" s="270"/>
      <c r="K9" s="134"/>
      <c r="AA9" s="12" t="s">
        <v>89</v>
      </c>
    </row>
    <row r="10" spans="1:27" s="19" customFormat="1" ht="13.5" customHeight="1">
      <c r="A10" s="53">
        <v>2.1</v>
      </c>
      <c r="B10" s="151" t="s">
        <v>9</v>
      </c>
      <c r="C10" s="151"/>
      <c r="D10" s="56">
        <v>3</v>
      </c>
      <c r="E10" s="52">
        <f>IF(AND(ISNUMBER(D10),D10&lt;=3,OR(D10=0,D10=1,D10=2,D10=3)),D10,IF(OR(D10="0+",D10="0 +"),0.3,IF(OR(D10="1-",D10="1 -"),0.7,IF(OR(D10="1+",D10="1 +"),1.3,IF(OR(D10="2-",D10="2 -"),1.7,IF(OR(D10="2+",D10="2 +"),2.3,IF(OR(D10="3-",D10="3 -"),2.7,"invalid")))))))</f>
        <v>3</v>
      </c>
      <c r="F10" s="156"/>
      <c r="G10" s="157"/>
      <c r="H10" s="157"/>
      <c r="I10" s="157"/>
      <c r="J10" s="158"/>
      <c r="K10" s="134"/>
      <c r="AA10" s="12" t="s">
        <v>90</v>
      </c>
    </row>
    <row r="11" spans="1:27" s="19" customFormat="1" ht="13.5" customHeight="1">
      <c r="A11" s="46" t="s">
        <v>35</v>
      </c>
      <c r="B11" s="151" t="s">
        <v>69</v>
      </c>
      <c r="C11" s="151"/>
      <c r="D11" s="56">
        <v>3</v>
      </c>
      <c r="E11" s="52">
        <f>IF(AND(ISNUMBER(D11),D11&lt;=3,OR(D11=0,D11=1,D11=2,D11=3)),D11,IF(OR(D11="0+",D11="0 +"),0.3,IF(OR(D11="1-",D11="1 -"),0.7,IF(OR(D11="1+",D11="1 +"),1.3,IF(OR(D11="2-",D11="2 -"),1.7,IF(OR(D11="2+",D11="2 +"),2.3,IF(OR(D11="3-",D11="3 -"),2.7,"no score")))))))</f>
        <v>3</v>
      </c>
      <c r="F11" s="166"/>
      <c r="G11" s="167"/>
      <c r="H11" s="167"/>
      <c r="I11" s="167"/>
      <c r="J11" s="168"/>
      <c r="K11" s="134"/>
      <c r="AA11" s="20">
        <v>3</v>
      </c>
    </row>
    <row r="12" spans="1:27" s="19" customFormat="1" ht="13.5" customHeight="1" thickBot="1">
      <c r="A12" s="46" t="s">
        <v>36</v>
      </c>
      <c r="B12" s="151" t="s">
        <v>56</v>
      </c>
      <c r="C12" s="151"/>
      <c r="D12" s="56">
        <v>3</v>
      </c>
      <c r="E12" s="54">
        <f>IF(AND(ISNUMBER(D12),D12&lt;=3,OR(D12=0,D12=1,D12=2,D12=3)),D12,IF(OR(D12="0+",D12="0 +"),0.3,IF(OR(D12="1-",D12="1 -"),0.7,IF(OR(D12="1+",D12="1 +"),1.3,IF(OR(D12="2-",D12="2 -"),1.7,IF(OR(D12="2+",D12="2 +"),2.3,IF(OR(D12="3-",D12="3 -"),2.7,"no score")))))))</f>
        <v>3</v>
      </c>
      <c r="F12" s="156"/>
      <c r="G12" s="157"/>
      <c r="H12" s="157"/>
      <c r="I12" s="157"/>
      <c r="J12" s="158"/>
      <c r="K12" s="134"/>
      <c r="AA12" s="12" t="s">
        <v>101</v>
      </c>
    </row>
    <row r="13" spans="1:11" s="19" customFormat="1" ht="13.5" customHeight="1" thickBot="1">
      <c r="A13" s="18"/>
      <c r="B13" s="155" t="s">
        <v>195</v>
      </c>
      <c r="C13" s="155"/>
      <c r="D13" s="155"/>
      <c r="E13" s="55">
        <f>AVERAGE(E10:E12)</f>
        <v>3</v>
      </c>
      <c r="F13" s="177"/>
      <c r="G13" s="178"/>
      <c r="H13" s="178"/>
      <c r="I13" s="178"/>
      <c r="J13" s="179"/>
      <c r="K13" s="134"/>
    </row>
    <row r="14" spans="1:11" s="19" customFormat="1" ht="24">
      <c r="A14" s="44" t="s">
        <v>10</v>
      </c>
      <c r="B14" s="45" t="s">
        <v>11</v>
      </c>
      <c r="C14" s="45"/>
      <c r="D14" s="92" t="s">
        <v>1</v>
      </c>
      <c r="E14" s="153" t="s">
        <v>94</v>
      </c>
      <c r="F14" s="154"/>
      <c r="G14" s="152" t="s">
        <v>3</v>
      </c>
      <c r="H14" s="152"/>
      <c r="I14" s="181"/>
      <c r="J14" s="182"/>
      <c r="K14" s="134"/>
    </row>
    <row r="15" spans="1:11" s="19" customFormat="1" ht="13.5" customHeight="1">
      <c r="A15" s="46">
        <v>3.1</v>
      </c>
      <c r="B15" s="151" t="s">
        <v>57</v>
      </c>
      <c r="C15" s="151"/>
      <c r="D15" s="56">
        <v>3</v>
      </c>
      <c r="E15" s="52">
        <f>IF(AND(ISNUMBER(D15),D15&lt;=3,OR(D15=0,D15=1,D15=2,D15=3)),D15,IF(OR(D15="0+",D15="0 +"),0.3,IF(OR(D15="1-",D15="1 -"),0.7,IF(OR(D15="1+",D15="1 +"),1.3,IF(OR(D15="2-",D15="2 -"),1.7,IF(OR(D15="2+",D15="2 +"),2.3,IF(OR(D15="3-",D15="3 -"),2.7,"no score")))))))</f>
        <v>3</v>
      </c>
      <c r="F15" s="166"/>
      <c r="G15" s="167"/>
      <c r="H15" s="167"/>
      <c r="I15" s="167"/>
      <c r="J15" s="168"/>
      <c r="K15" s="134"/>
    </row>
    <row r="16" spans="1:11" s="19" customFormat="1" ht="13.5" customHeight="1">
      <c r="A16" s="46">
        <v>3.2</v>
      </c>
      <c r="B16" s="180" t="s">
        <v>12</v>
      </c>
      <c r="C16" s="180"/>
      <c r="D16" s="51"/>
      <c r="E16" s="52">
        <f>E95</f>
        <v>3</v>
      </c>
      <c r="F16" s="183" t="s">
        <v>5</v>
      </c>
      <c r="G16" s="184"/>
      <c r="H16" s="184"/>
      <c r="I16" s="184"/>
      <c r="J16" s="185"/>
      <c r="K16" s="134"/>
    </row>
    <row r="17" spans="1:11" s="19" customFormat="1" ht="13.5" customHeight="1">
      <c r="A17" s="46">
        <v>3.3</v>
      </c>
      <c r="B17" s="151" t="s">
        <v>58</v>
      </c>
      <c r="C17" s="151"/>
      <c r="D17" s="56">
        <v>3</v>
      </c>
      <c r="E17" s="52">
        <f>IF(AND(ISNUMBER(D17),D17&lt;=3,OR(D17=0,D17=1,D17=2,D17=3)),D17,IF(OR(D17="0+",D17="0 +"),0.3,IF(OR(D17="1-",D17="1 -"),0.7,IF(OR(D17="1+",D17="1 +"),1.3,IF(OR(D17="2-",D17="2 -"),1.7,IF(OR(D17="2+",D17="2 +"),2.3,IF(OR(D17="3-",D17="3 -"),2.7,"no score")))))))</f>
        <v>3</v>
      </c>
      <c r="F17" s="166"/>
      <c r="G17" s="167"/>
      <c r="H17" s="167"/>
      <c r="I17" s="167"/>
      <c r="J17" s="168"/>
      <c r="K17" s="134"/>
    </row>
    <row r="18" spans="1:11" s="19" customFormat="1" ht="13.5" customHeight="1">
      <c r="A18" s="46">
        <v>3.4</v>
      </c>
      <c r="B18" s="151" t="s">
        <v>59</v>
      </c>
      <c r="C18" s="151"/>
      <c r="D18" s="56">
        <v>3</v>
      </c>
      <c r="E18" s="52">
        <f>IF(AND(ISNUMBER(D18),D18&lt;=3,OR(D18=0,D18=1,D18=2,D18=3)),D18,IF(OR(D18="0+",D18="0 +"),0.3,IF(OR(D18="1-",D18="1 -"),0.7,IF(OR(D18="1+",D18="1 +"),1.3,IF(OR(D18="2-",D18="2 -"),1.7,IF(OR(D18="2+",D18="2 +"),2.3,IF(OR(D18="3-",D18="3 -"),2.7,"invalid")))))))</f>
        <v>3</v>
      </c>
      <c r="F18" s="156"/>
      <c r="G18" s="157"/>
      <c r="H18" s="157"/>
      <c r="I18" s="157"/>
      <c r="J18" s="158"/>
      <c r="K18" s="134"/>
    </row>
    <row r="19" spans="1:11" s="19" customFormat="1" ht="13.5" customHeight="1">
      <c r="A19" s="46">
        <v>3.5</v>
      </c>
      <c r="B19" s="151" t="s">
        <v>70</v>
      </c>
      <c r="C19" s="151"/>
      <c r="D19" s="56">
        <v>3</v>
      </c>
      <c r="E19" s="52">
        <f>IF(AND(ISNUMBER(D19),D19&lt;=3,OR(D19=0,D19=1,D19=2,D19=3)),D19,IF(OR(D19="0+",D19="0 +"),0.3,IF(OR(D19="1-",D19="1 -"),0.7,IF(OR(D19="1+",D19="1 +"),1.3,IF(OR(D19="2-",D19="2 -"),1.7,IF(OR(D19="2+",D19="2 +"),2.3,IF(OR(D19="3-",D19="3 -"),2.7,"invalid")))))))</f>
        <v>3</v>
      </c>
      <c r="F19" s="160"/>
      <c r="G19" s="148"/>
      <c r="H19" s="148"/>
      <c r="I19" s="148"/>
      <c r="J19" s="147"/>
      <c r="K19" s="134"/>
    </row>
    <row r="20" spans="1:11" s="19" customFormat="1" ht="13.5" customHeight="1" thickBot="1">
      <c r="A20" s="46">
        <v>3.6</v>
      </c>
      <c r="B20" s="151" t="s">
        <v>60</v>
      </c>
      <c r="C20" s="151"/>
      <c r="D20" s="56">
        <v>3</v>
      </c>
      <c r="E20" s="54">
        <f>IF(AND(ISNUMBER(D20),D20&lt;=3,OR(D20=0,D20=1,D20=2,D20=3)),D20,IF(OR(D20="0+",D20="0 +"),0.3,IF(OR(D20="1-",D20="1 -"),0.7,IF(OR(D20="1+",D20="1 +"),1.3,IF(OR(D20="2-",D20="2 -"),1.7,IF(OR(D20="2+",D20="2 +"),2.3,IF(OR(D20="3-",D20="3 -"),2.7,"invalid")))))))</f>
        <v>3</v>
      </c>
      <c r="F20" s="156"/>
      <c r="G20" s="157"/>
      <c r="H20" s="157"/>
      <c r="I20" s="157"/>
      <c r="J20" s="158"/>
      <c r="K20" s="134"/>
    </row>
    <row r="21" spans="1:11" s="19" customFormat="1" ht="13.5" customHeight="1" thickBot="1">
      <c r="A21" s="18"/>
      <c r="B21" s="155" t="s">
        <v>13</v>
      </c>
      <c r="C21" s="155"/>
      <c r="D21" s="155"/>
      <c r="E21" s="55">
        <f>AVERAGE(E15:E20)</f>
        <v>3</v>
      </c>
      <c r="F21" s="186"/>
      <c r="G21" s="187"/>
      <c r="H21" s="187"/>
      <c r="I21" s="187"/>
      <c r="J21" s="188"/>
      <c r="K21" s="134"/>
    </row>
    <row r="22" spans="1:11" s="19" customFormat="1" ht="24">
      <c r="A22" s="44" t="s">
        <v>14</v>
      </c>
      <c r="B22" s="45" t="s">
        <v>15</v>
      </c>
      <c r="C22" s="45"/>
      <c r="D22" s="92" t="s">
        <v>1</v>
      </c>
      <c r="E22" s="153" t="s">
        <v>94</v>
      </c>
      <c r="F22" s="170"/>
      <c r="G22" s="169" t="s">
        <v>3</v>
      </c>
      <c r="H22" s="169"/>
      <c r="I22" s="189"/>
      <c r="J22" s="190"/>
      <c r="K22" s="134"/>
    </row>
    <row r="23" spans="1:11" s="19" customFormat="1" ht="13.5" customHeight="1">
      <c r="A23" s="46">
        <v>4.1</v>
      </c>
      <c r="B23" s="151" t="s">
        <v>61</v>
      </c>
      <c r="C23" s="151"/>
      <c r="D23" s="56">
        <v>3</v>
      </c>
      <c r="E23" s="52">
        <f>IF(AND(ISNUMBER(D23),D23&lt;=3,OR(D23=0,D23=1,D23=2,D23=3)),D23,IF(OR(D23="0+",D23="0 +"),0.3,IF(OR(D23="1-",D23="1 -"),0.7,IF(OR(D23="1+",D23="1 +"),1.3,IF(OR(D23="2-",D23="2 -"),1.7,IF(OR(D23="2+",D23="2 +"),2.3,IF(OR(D23="3-",D23="3 -"),2.7,"no score")))))))</f>
        <v>3</v>
      </c>
      <c r="F23" s="156"/>
      <c r="G23" s="157"/>
      <c r="H23" s="157"/>
      <c r="I23" s="157"/>
      <c r="J23" s="158"/>
      <c r="K23" s="134"/>
    </row>
    <row r="24" spans="1:11" s="19" customFormat="1" ht="13.5" customHeight="1">
      <c r="A24" s="46">
        <v>4.2</v>
      </c>
      <c r="B24" s="151" t="s">
        <v>62</v>
      </c>
      <c r="C24" s="151"/>
      <c r="D24" s="56">
        <v>3</v>
      </c>
      <c r="E24" s="52">
        <f>IF(AND(ISNUMBER(D24),D24&lt;=3,OR(D24=0,D24=1,D24=2,D24=3)),D24,IF(OR(D24="0+",D24="0 +"),0.3,IF(OR(D24="1-",D24="1 -"),0.7,IF(OR(D24="1+",D24="1 +"),1.3,IF(OR(D24="2-",D24="2 -"),1.7,IF(OR(D24="2+",D24="2 +"),2.3,IF(OR(D24="3-",D24="3 -"),2.7,"no score")))))))</f>
        <v>3</v>
      </c>
      <c r="F24" s="160"/>
      <c r="G24" s="148"/>
      <c r="H24" s="148"/>
      <c r="I24" s="148"/>
      <c r="J24" s="147"/>
      <c r="K24" s="134"/>
    </row>
    <row r="25" spans="1:11" s="19" customFormat="1" ht="13.5" customHeight="1">
      <c r="A25" s="46">
        <v>4.3</v>
      </c>
      <c r="B25" s="151" t="s">
        <v>63</v>
      </c>
      <c r="C25" s="151"/>
      <c r="D25" s="56">
        <v>3</v>
      </c>
      <c r="E25" s="52">
        <f>IF(AND(ISNUMBER(D25),D25&lt;=3,OR(D25=0,D25=1,D25=2,D25=3)),D25,IF(OR(D25="0+",D25="0 +"),0.3,IF(OR(D25="1-",D25="1 -"),0.7,IF(OR(D25="1+",D25="1 +"),1.3,IF(OR(D25="2-",D25="2 -"),1.7,IF(OR(D25="2+",D25="2 +"),2.3,IF(OR(D25="3-",D25="3 -"),2.7,"invalid")))))))</f>
        <v>3</v>
      </c>
      <c r="F25" s="156"/>
      <c r="G25" s="157"/>
      <c r="H25" s="157"/>
      <c r="I25" s="157"/>
      <c r="J25" s="158"/>
      <c r="K25" s="134"/>
    </row>
    <row r="26" spans="1:11" s="19" customFormat="1" ht="13.5" customHeight="1">
      <c r="A26" s="46">
        <v>4.4</v>
      </c>
      <c r="B26" s="151" t="s">
        <v>71</v>
      </c>
      <c r="C26" s="151"/>
      <c r="D26" s="56">
        <v>3</v>
      </c>
      <c r="E26" s="52">
        <f>IF(AND(ISNUMBER(D26),D26&lt;=3,OR(D26=0,D26=1,D26=2,D26=3)),D26,IF(OR(D26="0+",D26="0 +"),0.3,IF(OR(D26="1-",D26="1 -"),0.7,IF(OR(D26="1+",D26="1 +"),1.3,IF(OR(D26="2-",D26="2 -"),1.7,IF(OR(D26="2+",D26="2 +"),2.3,IF(OR(D26="3-",D26="3 -"),2.7,"invalid")))))))</f>
        <v>3</v>
      </c>
      <c r="F26" s="160"/>
      <c r="G26" s="148"/>
      <c r="H26" s="148"/>
      <c r="I26" s="148"/>
      <c r="J26" s="147"/>
      <c r="K26" s="134"/>
    </row>
    <row r="27" spans="1:11" s="19" customFormat="1" ht="13.5" customHeight="1">
      <c r="A27" s="46">
        <v>4.5</v>
      </c>
      <c r="B27" s="151" t="s">
        <v>72</v>
      </c>
      <c r="C27" s="151"/>
      <c r="D27" s="56">
        <v>3</v>
      </c>
      <c r="E27" s="52">
        <f>IF(AND(ISNUMBER(D27),D27&lt;=3,OR(D27=0,D27=1,D27=2,D27=3)),D27,IF(OR(D27="0+",D27="0 +"),0.3,IF(OR(D27="1-",D27="1 -"),0.7,IF(OR(D27="1+",D27="1 +"),1.3,IF(OR(D27="2-",D27="2 -"),1.7,IF(OR(D27="2+",D27="2 +"),2.3,IF(OR(D27="3-",D27="3 -"),2.7,"invalid")))))))</f>
        <v>3</v>
      </c>
      <c r="F27" s="156"/>
      <c r="G27" s="157"/>
      <c r="H27" s="157"/>
      <c r="I27" s="157"/>
      <c r="J27" s="158"/>
      <c r="K27" s="134"/>
    </row>
    <row r="28" spans="1:11" s="19" customFormat="1" ht="13.5" customHeight="1">
      <c r="A28" s="46">
        <v>4.6</v>
      </c>
      <c r="B28" s="151" t="s">
        <v>73</v>
      </c>
      <c r="C28" s="151"/>
      <c r="D28" s="56">
        <v>3</v>
      </c>
      <c r="E28" s="52">
        <f>IF(AND(ISNUMBER(D28),D28&lt;=3,OR(D28=0,D28=1,D28=2,D28=3)),D28,IF(OR(D28="0+",D28="0 +"),0.3,IF(OR(D28="1-",D28="1 -"),0.7,IF(OR(D28="1+",D28="1 +"),1.3,IF(OR(D28="2-",D28="2 -"),1.7,IF(OR(D28="2+",D28="2 +"),2.3,IF(OR(D28="3-",D28="3 -"),2.7,"no score")))))))</f>
        <v>3</v>
      </c>
      <c r="F28" s="166"/>
      <c r="G28" s="167"/>
      <c r="H28" s="167"/>
      <c r="I28" s="167"/>
      <c r="J28" s="168"/>
      <c r="K28" s="134"/>
    </row>
    <row r="29" spans="1:11" s="19" customFormat="1" ht="13.5" customHeight="1">
      <c r="A29" s="46">
        <v>4.7</v>
      </c>
      <c r="B29" s="151" t="s">
        <v>74</v>
      </c>
      <c r="C29" s="151"/>
      <c r="D29" s="56">
        <v>3</v>
      </c>
      <c r="E29" s="52">
        <f>IF(AND(ISNUMBER(D29),D29&lt;=3,OR(D29=0,D29=1,D29=2,D29=3)),D29,IF(OR(D29="0+",D29="0 +"),0.3,IF(OR(D29="1-",D29="1 -"),0.7,IF(OR(D29="1+",D29="1 +"),1.3,IF(OR(D29="2-",D29="2 -"),1.7,IF(OR(D29="2+",D29="2 +"),2.3,IF(OR(D29="3-",D29="3 -"),2.7,"invalid")))))))</f>
        <v>3</v>
      </c>
      <c r="F29" s="156"/>
      <c r="G29" s="157"/>
      <c r="H29" s="157"/>
      <c r="I29" s="157"/>
      <c r="J29" s="158"/>
      <c r="K29" s="134"/>
    </row>
    <row r="30" spans="1:11" s="19" customFormat="1" ht="13.5" customHeight="1" thickBot="1">
      <c r="A30" s="46">
        <v>4.8</v>
      </c>
      <c r="B30" s="151" t="s">
        <v>64</v>
      </c>
      <c r="C30" s="151"/>
      <c r="D30" s="56">
        <v>3</v>
      </c>
      <c r="E30" s="57">
        <f>IF(AND(ISNUMBER(D30),D30&lt;=3,OR(D30=0,D30=1,D30=2,D30=3)),D30,IF(OR(D30="0+",D30="0 +"),0.3,IF(OR(D30="1-",D30="1 -"),0.7,IF(OR(D30="1+",D30="1 +"),1.3,IF(OR(D30="2-",D30="2 -"),1.7,IF(OR(D30="2+",D30="2 +"),2.3,IF(OR(D30="3-",D30="3 -"),2.7,"invalid")))))))</f>
        <v>3</v>
      </c>
      <c r="F30" s="160"/>
      <c r="G30" s="148"/>
      <c r="H30" s="148"/>
      <c r="I30" s="148"/>
      <c r="J30" s="147"/>
      <c r="K30" s="134"/>
    </row>
    <row r="31" spans="1:256" s="24" customFormat="1" ht="13.5" customHeight="1" thickBot="1">
      <c r="A31" s="22"/>
      <c r="B31" s="155" t="s">
        <v>16</v>
      </c>
      <c r="C31" s="155"/>
      <c r="D31" s="155"/>
      <c r="E31" s="55">
        <f>AVERAGE(E23:E30)</f>
        <v>3</v>
      </c>
      <c r="F31" s="171"/>
      <c r="G31" s="172"/>
      <c r="H31" s="172"/>
      <c r="I31" s="172"/>
      <c r="J31" s="173"/>
      <c r="K31" s="13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13" s="23" customFormat="1" ht="24">
      <c r="A32" s="59" t="s">
        <v>17</v>
      </c>
      <c r="B32" s="60" t="s">
        <v>18</v>
      </c>
      <c r="C32" s="60"/>
      <c r="D32" s="93" t="s">
        <v>1</v>
      </c>
      <c r="E32" s="153" t="s">
        <v>94</v>
      </c>
      <c r="F32" s="176"/>
      <c r="G32" s="159" t="s">
        <v>3</v>
      </c>
      <c r="H32" s="159"/>
      <c r="I32" s="174"/>
      <c r="J32" s="175"/>
      <c r="K32" s="134"/>
      <c r="L32" s="19"/>
      <c r="M32" s="19"/>
    </row>
    <row r="33" spans="1:13" s="23" customFormat="1" ht="13.5" customHeight="1">
      <c r="A33" s="53">
        <v>5.1</v>
      </c>
      <c r="B33" s="151" t="s">
        <v>194</v>
      </c>
      <c r="C33" s="151"/>
      <c r="D33" s="56">
        <v>3</v>
      </c>
      <c r="E33" s="52">
        <f>IF(AND(ISNUMBER(D33),D33&lt;=3,OR(D33=0,D33=1,D33=2,D33=3)),D33,IF(OR(D33="0+",D33="0 +"),0.3,IF(OR(D33="1-",D33="1 -"),0.7,IF(OR(D33="1+",D33="1 +"),1.3,IF(OR(D33="2-",D33="2 -"),1.7,IF(OR(D33="2+",D33="2 +"),2.3,IF(OR(D33="3-",D33="3 -"),2.7,"no score")))))))</f>
        <v>3</v>
      </c>
      <c r="F33" s="156"/>
      <c r="G33" s="157"/>
      <c r="H33" s="157"/>
      <c r="I33" s="157"/>
      <c r="J33" s="158"/>
      <c r="K33" s="134"/>
      <c r="L33" s="19"/>
      <c r="M33" s="19"/>
    </row>
    <row r="34" spans="1:13" s="23" customFormat="1" ht="13.5" customHeight="1">
      <c r="A34" s="53">
        <v>5.2</v>
      </c>
      <c r="B34" s="151" t="s">
        <v>65</v>
      </c>
      <c r="C34" s="151"/>
      <c r="D34" s="56">
        <v>3</v>
      </c>
      <c r="E34" s="52">
        <f>IF(AND(ISNUMBER(D34),D34&lt;=3,OR(D34=0,D34=1,D34=2,D34=3)),D34,IF(OR(D34="0+",D34="0 +"),0.3,IF(OR(D34="1-",D34="1 -"),0.7,IF(OR(D34="1+",D34="1 +"),1.3,IF(OR(D34="2-",D34="2 -"),1.7,IF(OR(D34="2+",D34="2 +"),2.3,IF(OR(D34="3-",D34="3 -"),2.7,"no score")))))))</f>
        <v>3</v>
      </c>
      <c r="F34" s="166"/>
      <c r="G34" s="167"/>
      <c r="H34" s="167"/>
      <c r="I34" s="167"/>
      <c r="J34" s="168"/>
      <c r="K34" s="134"/>
      <c r="L34" s="19"/>
      <c r="M34" s="19"/>
    </row>
    <row r="35" spans="1:13" s="23" customFormat="1" ht="13.5" customHeight="1">
      <c r="A35" s="53">
        <v>5.3</v>
      </c>
      <c r="B35" s="151" t="s">
        <v>66</v>
      </c>
      <c r="C35" s="151"/>
      <c r="D35" s="56">
        <v>3</v>
      </c>
      <c r="E35" s="52">
        <f>IF(AND(ISNUMBER(D35),D35&lt;=3,OR(D35=0,D35=1,D35=2,D35=3)),D35,IF(OR(D35="0+",D35="0 +"),0.3,IF(OR(D35="1-",D35="1 -"),0.7,IF(OR(D35="1+",D35="1 +"),1.3,IF(OR(D35="2-",D35="2 -"),1.7,IF(OR(D35="2+",D35="2 +"),2.3,IF(OR(D35="3-",D35="3 -"),2.7,"invalid ")))))))</f>
        <v>3</v>
      </c>
      <c r="F35" s="156"/>
      <c r="G35" s="157"/>
      <c r="H35" s="157"/>
      <c r="I35" s="157"/>
      <c r="J35" s="158"/>
      <c r="K35" s="134"/>
      <c r="L35" s="19"/>
      <c r="M35" s="19"/>
    </row>
    <row r="36" spans="1:13" s="23" customFormat="1" ht="13.5" customHeight="1">
      <c r="A36" s="53">
        <v>5.4</v>
      </c>
      <c r="B36" s="151" t="str">
        <f>IF(Assist!I14="New Entry","Reporting of Production Defects","Commitment to the PRS")</f>
        <v>Commitment to the PRS</v>
      </c>
      <c r="C36" s="151"/>
      <c r="D36" s="56">
        <v>3</v>
      </c>
      <c r="E36" s="57">
        <f>IF(AND(ISNUMBER(D36),D36&lt;=3,OR(D36=0,D36=1,D36=2,D36=3)),D36,IF(OR(D36="0+",D36="0 +"),0.3,IF(OR(D36="1-",D36="1 -"),0.7,IF(OR(D36="1+",D36="1 +"),1.3,IF(OR(D36="2-",D36="2 -"),1.7,IF(OR(D36="2+",D36="2 +"),2.3,IF(OR(D36="3-",D36="3 -"),2.7,"no score")))))))</f>
        <v>3</v>
      </c>
      <c r="F36" s="166"/>
      <c r="G36" s="167"/>
      <c r="H36" s="167"/>
      <c r="I36" s="167"/>
      <c r="J36" s="168"/>
      <c r="K36" s="134"/>
      <c r="L36" s="19"/>
      <c r="M36" s="19"/>
    </row>
    <row r="37" spans="1:13" s="23" customFormat="1" ht="13.5" customHeight="1" thickBot="1">
      <c r="A37" s="53" t="str">
        <f>IF(Assist!I14="New Entry","5.5"," ")</f>
        <v> </v>
      </c>
      <c r="B37" s="180" t="str">
        <f>IF(Assist!I14="New Entry","Commitment to the PRS"," ")</f>
        <v> </v>
      </c>
      <c r="C37" s="193"/>
      <c r="D37" s="56"/>
      <c r="E37" s="57" t="str">
        <f>IF(AND(ISNUMBER(D37),D37&lt;=3,OR(D37=0,D37=1,D37=2,D37=3)),D37,IF(OR(D37="0+",D37="0 +"),0.3,IF(OR(D37="1-",D37="1 -"),0.7,IF(OR(D37="1+",D37="1 +"),1.3,IF(OR(D37="2-",D37="2 -"),1.7,IF(OR(D37="2+",D37="2 +"),2.3,IF(OR(D37="3-",D37="3 -"),2.7,"  ")))))))</f>
        <v>  </v>
      </c>
      <c r="F37" s="156"/>
      <c r="G37" s="157"/>
      <c r="H37" s="157"/>
      <c r="I37" s="157"/>
      <c r="J37" s="158"/>
      <c r="K37" s="134"/>
      <c r="L37" s="19"/>
      <c r="M37" s="19"/>
    </row>
    <row r="38" spans="1:11" s="23" customFormat="1" ht="13.5" customHeight="1" thickBot="1">
      <c r="A38" s="25"/>
      <c r="B38" s="155" t="s">
        <v>19</v>
      </c>
      <c r="C38" s="155"/>
      <c r="D38" s="155"/>
      <c r="E38" s="55">
        <f>AVERAGE(E33:E37)</f>
        <v>3</v>
      </c>
      <c r="F38" s="171"/>
      <c r="G38" s="172"/>
      <c r="H38" s="172"/>
      <c r="I38" s="172"/>
      <c r="J38" s="173"/>
      <c r="K38" s="135"/>
    </row>
    <row r="39" spans="1:11" s="19" customFormat="1" ht="12">
      <c r="A39" s="26" t="s">
        <v>203</v>
      </c>
      <c r="B39" s="21"/>
      <c r="C39" s="21"/>
      <c r="D39" s="27"/>
      <c r="E39" s="28"/>
      <c r="F39" s="28"/>
      <c r="G39" s="21"/>
      <c r="H39" s="29"/>
      <c r="I39" s="30"/>
      <c r="J39" s="31"/>
      <c r="K39" s="134"/>
    </row>
    <row r="40" spans="1:11" s="19" customFormat="1" ht="12.75" customHeight="1" thickBot="1">
      <c r="A40" s="200" t="s">
        <v>21</v>
      </c>
      <c r="B40" s="201"/>
      <c r="C40" s="205" t="s">
        <v>22</v>
      </c>
      <c r="D40" s="206"/>
      <c r="E40" s="32" t="s">
        <v>23</v>
      </c>
      <c r="F40" s="202" t="s">
        <v>24</v>
      </c>
      <c r="G40" s="202"/>
      <c r="H40" s="30"/>
      <c r="I40" s="30"/>
      <c r="J40" s="31"/>
      <c r="K40" s="134"/>
    </row>
    <row r="41" spans="1:11" s="14" customFormat="1" ht="12.75" customHeight="1">
      <c r="A41" s="203" t="s">
        <v>199</v>
      </c>
      <c r="B41" s="204"/>
      <c r="C41" s="204"/>
      <c r="D41" s="61">
        <f>Main!E8</f>
        <v>3</v>
      </c>
      <c r="E41" s="62" t="s">
        <v>75</v>
      </c>
      <c r="F41" s="63">
        <f>D41*0.5</f>
        <v>1.5</v>
      </c>
      <c r="G41" s="64" t="s">
        <v>193</v>
      </c>
      <c r="H41" s="65"/>
      <c r="I41" s="66">
        <v>3</v>
      </c>
      <c r="J41" s="67"/>
      <c r="K41" s="15"/>
    </row>
    <row r="42" spans="1:11" s="14" customFormat="1" ht="12.75" customHeight="1" thickBot="1">
      <c r="A42" s="191" t="s">
        <v>200</v>
      </c>
      <c r="B42" s="192"/>
      <c r="C42" s="192"/>
      <c r="D42" s="68">
        <f>Main!E13</f>
        <v>3</v>
      </c>
      <c r="E42" s="69" t="s">
        <v>76</v>
      </c>
      <c r="F42" s="70">
        <f>D42*0.2</f>
        <v>0.6000000000000001</v>
      </c>
      <c r="G42" s="71"/>
      <c r="H42" s="72"/>
      <c r="I42" s="73"/>
      <c r="J42" s="67"/>
      <c r="K42" s="15"/>
    </row>
    <row r="43" spans="1:11" s="14" customFormat="1" ht="12.75" customHeight="1" thickBot="1">
      <c r="A43" s="191" t="s">
        <v>25</v>
      </c>
      <c r="B43" s="192"/>
      <c r="C43" s="192"/>
      <c r="D43" s="74">
        <f>Main!E21</f>
        <v>3</v>
      </c>
      <c r="E43" s="69" t="s">
        <v>77</v>
      </c>
      <c r="F43" s="70">
        <f>D43*0.1</f>
        <v>0.30000000000000004</v>
      </c>
      <c r="G43" s="33" t="s">
        <v>202</v>
      </c>
      <c r="H43" s="75"/>
      <c r="I43" s="34">
        <f>Assist!G55</f>
        <v>3</v>
      </c>
      <c r="J43" s="67"/>
      <c r="K43" s="15"/>
    </row>
    <row r="44" spans="1:11" s="14" customFormat="1" ht="12.75" customHeight="1">
      <c r="A44" s="191" t="s">
        <v>26</v>
      </c>
      <c r="B44" s="192"/>
      <c r="C44" s="192"/>
      <c r="D44" s="74">
        <f>Main!E31</f>
        <v>3</v>
      </c>
      <c r="E44" s="69" t="s">
        <v>77</v>
      </c>
      <c r="F44" s="70">
        <f>D44*0.1</f>
        <v>0.30000000000000004</v>
      </c>
      <c r="G44" s="163" t="str">
        <f>IF(Assist!G35&gt;0,"The total score is subject to change until all elements that scored 1+ or less have improved to 2- or higher."," ")</f>
        <v> </v>
      </c>
      <c r="H44" s="164"/>
      <c r="I44" s="164"/>
      <c r="J44" s="165"/>
      <c r="K44" s="15"/>
    </row>
    <row r="45" spans="1:11" s="14" customFormat="1" ht="13.5" thickBot="1">
      <c r="A45" s="207" t="s">
        <v>27</v>
      </c>
      <c r="B45" s="208"/>
      <c r="C45" s="208"/>
      <c r="D45" s="76">
        <f>Main!E38</f>
        <v>3</v>
      </c>
      <c r="E45" s="77" t="s">
        <v>77</v>
      </c>
      <c r="F45" s="78">
        <f>D45*0.1</f>
        <v>0.30000000000000004</v>
      </c>
      <c r="G45" s="163"/>
      <c r="H45" s="164"/>
      <c r="I45" s="164"/>
      <c r="J45" s="165"/>
      <c r="K45" s="15"/>
    </row>
    <row r="46" spans="1:15" s="14" customFormat="1" ht="13.5" thickBot="1">
      <c r="A46" s="79"/>
      <c r="B46" s="80"/>
      <c r="C46" s="209" t="s">
        <v>201</v>
      </c>
      <c r="D46" s="210"/>
      <c r="E46" s="210"/>
      <c r="F46" s="81">
        <f>Assist!G39</f>
        <v>3</v>
      </c>
      <c r="G46" s="163"/>
      <c r="H46" s="164"/>
      <c r="I46" s="164"/>
      <c r="J46" s="165"/>
      <c r="K46" s="136"/>
      <c r="L46" s="82"/>
      <c r="M46" s="82"/>
      <c r="N46" s="82"/>
      <c r="O46" s="82"/>
    </row>
    <row r="47" spans="1:11" s="14" customFormat="1" ht="12.75">
      <c r="A47" s="83" t="s">
        <v>20</v>
      </c>
      <c r="B47" s="84"/>
      <c r="C47" s="85"/>
      <c r="D47" s="162"/>
      <c r="E47" s="162"/>
      <c r="F47" s="86"/>
      <c r="G47" s="87" t="s">
        <v>95</v>
      </c>
      <c r="H47" s="88" t="str">
        <f>IF(I3=0,"  ",Assist!C63)</f>
        <v>  </v>
      </c>
      <c r="I47" s="261" t="str">
        <f>IF(I3=0,"  ",Assist!D63)</f>
        <v>  </v>
      </c>
      <c r="J47" s="262"/>
      <c r="K47" s="15"/>
    </row>
    <row r="48" spans="1:26" s="14" customFormat="1" ht="75" customHeight="1">
      <c r="A48" s="256"/>
      <c r="B48" s="257"/>
      <c r="C48" s="257"/>
      <c r="D48" s="257"/>
      <c r="E48" s="257"/>
      <c r="F48" s="257"/>
      <c r="G48" s="257"/>
      <c r="H48" s="257"/>
      <c r="I48" s="257"/>
      <c r="J48" s="258"/>
      <c r="K48" s="15"/>
      <c r="Z48" s="89"/>
    </row>
    <row r="49" spans="1:11" s="14" customFormat="1" ht="13.5" customHeight="1" thickBot="1">
      <c r="A49" s="213" t="s">
        <v>92</v>
      </c>
      <c r="B49" s="144"/>
      <c r="C49" s="90"/>
      <c r="D49" s="144" t="s">
        <v>91</v>
      </c>
      <c r="E49" s="144"/>
      <c r="F49" s="145"/>
      <c r="G49" s="145"/>
      <c r="H49" s="133" t="s">
        <v>216</v>
      </c>
      <c r="I49" s="259" t="str">
        <f>IF(I3=0,"  ",I3)</f>
        <v>  </v>
      </c>
      <c r="J49" s="260"/>
      <c r="K49" s="15"/>
    </row>
    <row r="50" spans="1:11" s="14" customFormat="1" ht="24.75" customHeight="1" thickBot="1">
      <c r="A50" s="217" t="s">
        <v>29</v>
      </c>
      <c r="B50" s="217"/>
      <c r="C50" s="217"/>
      <c r="D50" s="217"/>
      <c r="E50" s="217"/>
      <c r="F50" s="217"/>
      <c r="G50" s="217"/>
      <c r="H50" s="217"/>
      <c r="I50" s="217"/>
      <c r="J50" s="217"/>
      <c r="K50" s="15"/>
    </row>
    <row r="51" spans="1:14" s="14" customFormat="1" ht="18" customHeight="1">
      <c r="A51" s="232" t="s">
        <v>207</v>
      </c>
      <c r="B51" s="233"/>
      <c r="C51" s="142" t="str">
        <f>IF(C2=0,"  ",C2)</f>
        <v>  </v>
      </c>
      <c r="D51" s="234" t="s">
        <v>205</v>
      </c>
      <c r="E51" s="234"/>
      <c r="F51" s="235" t="str">
        <f>IF(F2=0,"  ",F2)</f>
        <v>  </v>
      </c>
      <c r="G51" s="236"/>
      <c r="H51" s="42" t="s">
        <v>209</v>
      </c>
      <c r="I51" s="220" t="str">
        <f>IF(I2=0,"  ",I2)</f>
        <v>  </v>
      </c>
      <c r="J51" s="221"/>
      <c r="K51" s="15"/>
      <c r="N51" s="15"/>
    </row>
    <row r="52" spans="1:17" s="14" customFormat="1" ht="18" customHeight="1">
      <c r="A52" s="237" t="s">
        <v>208</v>
      </c>
      <c r="B52" s="238"/>
      <c r="C52" s="143" t="str">
        <f>IF(C3=0,"  ",C3)</f>
        <v>  </v>
      </c>
      <c r="D52" s="239" t="s">
        <v>206</v>
      </c>
      <c r="E52" s="238"/>
      <c r="F52" s="240" t="str">
        <f>IF(F3=0,"  ",F3)</f>
        <v>  </v>
      </c>
      <c r="G52" s="241"/>
      <c r="H52" s="94" t="s">
        <v>210</v>
      </c>
      <c r="I52" s="222" t="str">
        <f>IF(I3=0,"  ",I3)</f>
        <v>  </v>
      </c>
      <c r="J52" s="223"/>
      <c r="K52" s="15"/>
      <c r="Q52" s="95"/>
    </row>
    <row r="53" spans="1:11" s="14" customFormat="1" ht="6" customHeight="1" thickBot="1">
      <c r="A53" s="96"/>
      <c r="B53" s="97"/>
      <c r="C53" s="97"/>
      <c r="D53" s="97"/>
      <c r="E53" s="97"/>
      <c r="F53" s="97"/>
      <c r="G53" s="97"/>
      <c r="H53" s="97"/>
      <c r="I53" s="271"/>
      <c r="J53" s="272"/>
      <c r="K53" s="15"/>
    </row>
    <row r="54" spans="1:11" s="14" customFormat="1" ht="12.75">
      <c r="A54" s="46"/>
      <c r="B54" s="47"/>
      <c r="C54" s="98"/>
      <c r="D54" s="98"/>
      <c r="E54" s="215" t="s">
        <v>67</v>
      </c>
      <c r="F54" s="216"/>
      <c r="G54" s="280" t="s">
        <v>68</v>
      </c>
      <c r="H54" s="281"/>
      <c r="I54" s="80"/>
      <c r="J54" s="99"/>
      <c r="K54" s="15"/>
    </row>
    <row r="55" spans="1:11" s="14" customFormat="1" ht="12.75">
      <c r="A55" s="46"/>
      <c r="B55" s="47"/>
      <c r="C55" s="100"/>
      <c r="D55" s="100" t="s">
        <v>30</v>
      </c>
      <c r="E55" s="211"/>
      <c r="F55" s="212"/>
      <c r="G55" s="218"/>
      <c r="H55" s="219"/>
      <c r="I55" s="50"/>
      <c r="J55" s="99"/>
      <c r="K55" s="15"/>
    </row>
    <row r="56" spans="1:11" s="14" customFormat="1" ht="12.75">
      <c r="A56" s="46"/>
      <c r="B56" s="47"/>
      <c r="C56" s="100"/>
      <c r="D56" s="100" t="s">
        <v>31</v>
      </c>
      <c r="E56" s="211"/>
      <c r="F56" s="212"/>
      <c r="G56" s="218"/>
      <c r="H56" s="219"/>
      <c r="I56" s="80"/>
      <c r="J56" s="99"/>
      <c r="K56" s="15"/>
    </row>
    <row r="57" spans="1:11" s="14" customFormat="1" ht="12.75">
      <c r="A57" s="46"/>
      <c r="B57" s="47"/>
      <c r="C57" s="100"/>
      <c r="D57" s="100" t="s">
        <v>32</v>
      </c>
      <c r="E57" s="211"/>
      <c r="F57" s="214"/>
      <c r="G57" s="218"/>
      <c r="H57" s="219"/>
      <c r="I57" s="80"/>
      <c r="J57" s="99"/>
      <c r="K57" s="15"/>
    </row>
    <row r="58" spans="1:11" s="14" customFormat="1" ht="12.75">
      <c r="A58" s="46"/>
      <c r="B58" s="47"/>
      <c r="C58" s="100"/>
      <c r="D58" s="100" t="s">
        <v>33</v>
      </c>
      <c r="E58" s="224"/>
      <c r="F58" s="214"/>
      <c r="G58" s="218"/>
      <c r="H58" s="219"/>
      <c r="I58" s="80"/>
      <c r="J58" s="99"/>
      <c r="K58" s="15"/>
    </row>
    <row r="59" spans="1:65" s="14" customFormat="1" ht="12.75">
      <c r="A59" s="46"/>
      <c r="B59" s="101"/>
      <c r="C59" s="100"/>
      <c r="D59" s="100" t="s">
        <v>34</v>
      </c>
      <c r="E59" s="211"/>
      <c r="F59" s="214"/>
      <c r="G59" s="218"/>
      <c r="H59" s="219"/>
      <c r="I59" s="80"/>
      <c r="J59" s="99"/>
      <c r="K59" s="15"/>
      <c r="AA59" s="244" t="s">
        <v>79</v>
      </c>
      <c r="AB59" s="244"/>
      <c r="AG59" s="244" t="s">
        <v>80</v>
      </c>
      <c r="AH59" s="244"/>
      <c r="AN59" s="244" t="s">
        <v>102</v>
      </c>
      <c r="AO59" s="244"/>
      <c r="AU59" s="244" t="s">
        <v>81</v>
      </c>
      <c r="AV59" s="244"/>
      <c r="AY59" s="82"/>
      <c r="AZ59" s="244" t="s">
        <v>82</v>
      </c>
      <c r="BA59" s="244"/>
      <c r="BF59" s="244" t="s">
        <v>103</v>
      </c>
      <c r="BG59" s="244"/>
      <c r="BK59" s="244" t="s">
        <v>142</v>
      </c>
      <c r="BL59" s="244"/>
      <c r="BM59" s="244"/>
    </row>
    <row r="60" spans="1:67" s="19" customFormat="1" ht="10.5" customHeight="1">
      <c r="A60" s="131"/>
      <c r="B60" s="132"/>
      <c r="C60" s="132"/>
      <c r="D60" s="132"/>
      <c r="E60" s="37" t="s">
        <v>78</v>
      </c>
      <c r="F60" s="37"/>
      <c r="G60" s="37"/>
      <c r="H60" s="37"/>
      <c r="I60" s="37"/>
      <c r="J60" s="36"/>
      <c r="K60" s="134"/>
      <c r="AA60" s="244"/>
      <c r="AB60" s="244"/>
      <c r="AC60" s="14"/>
      <c r="AD60" s="14"/>
      <c r="AE60" s="14"/>
      <c r="AF60" s="14"/>
      <c r="AG60" s="244"/>
      <c r="AH60" s="244"/>
      <c r="AI60" s="14"/>
      <c r="AJ60" s="14"/>
      <c r="AK60" s="14"/>
      <c r="AL60" s="14"/>
      <c r="AM60" s="14"/>
      <c r="AN60" s="244"/>
      <c r="AO60" s="244"/>
      <c r="AP60" s="14"/>
      <c r="AQ60" s="14"/>
      <c r="AR60" s="14"/>
      <c r="AS60" s="14"/>
      <c r="AT60" s="14"/>
      <c r="AU60" s="244"/>
      <c r="AV60" s="244"/>
      <c r="AW60" s="14"/>
      <c r="AX60" s="14"/>
      <c r="AY60" s="82"/>
      <c r="AZ60" s="244"/>
      <c r="BA60" s="244"/>
      <c r="BB60" s="14"/>
      <c r="BC60" s="14"/>
      <c r="BD60" s="14"/>
      <c r="BE60" s="14"/>
      <c r="BF60" s="244"/>
      <c r="BG60" s="244"/>
      <c r="BH60" s="14"/>
      <c r="BI60" s="14"/>
      <c r="BJ60" s="14"/>
      <c r="BK60" s="244"/>
      <c r="BL60" s="244"/>
      <c r="BM60" s="244"/>
      <c r="BN60" s="14"/>
      <c r="BO60" s="14"/>
    </row>
    <row r="61" spans="1:67" s="19" customFormat="1" ht="6.75" customHeight="1" thickBot="1">
      <c r="A61" s="25"/>
      <c r="B61" s="38"/>
      <c r="C61" s="38"/>
      <c r="D61" s="38"/>
      <c r="E61" s="38"/>
      <c r="F61" s="38"/>
      <c r="G61" s="38"/>
      <c r="H61" s="39"/>
      <c r="I61" s="35"/>
      <c r="J61" s="36"/>
      <c r="K61" s="134"/>
      <c r="AA61" s="138"/>
      <c r="AB61" s="139"/>
      <c r="AC61" s="14"/>
      <c r="AD61" s="14"/>
      <c r="AE61" s="14"/>
      <c r="AF61" s="14"/>
      <c r="AG61" s="138"/>
      <c r="AH61" s="139"/>
      <c r="AI61" s="14"/>
      <c r="AJ61" s="14"/>
      <c r="AK61" s="14"/>
      <c r="AL61" s="14"/>
      <c r="AM61" s="14"/>
      <c r="AN61" s="138"/>
      <c r="AO61" s="139"/>
      <c r="AP61" s="14"/>
      <c r="AQ61" s="14"/>
      <c r="AR61" s="14"/>
      <c r="AS61" s="14"/>
      <c r="AT61" s="14"/>
      <c r="AU61" s="16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6"/>
      <c r="BG61" s="14"/>
      <c r="BH61" s="14"/>
      <c r="BI61" s="14"/>
      <c r="BJ61" s="14"/>
      <c r="BK61" s="16"/>
      <c r="BL61" s="14"/>
      <c r="BM61" s="14"/>
      <c r="BN61" s="14"/>
      <c r="BO61" s="14"/>
    </row>
    <row r="62" spans="1:63" s="14" customFormat="1" ht="22.5" customHeight="1">
      <c r="A62" s="149"/>
      <c r="B62" s="150"/>
      <c r="C62" s="150"/>
      <c r="D62" s="92" t="s">
        <v>1</v>
      </c>
      <c r="E62" s="225" t="s">
        <v>204</v>
      </c>
      <c r="F62" s="226"/>
      <c r="G62" s="159" t="s">
        <v>3</v>
      </c>
      <c r="H62" s="159"/>
      <c r="I62" s="273"/>
      <c r="J62" s="274"/>
      <c r="K62" s="15"/>
      <c r="AA62" s="16" t="s">
        <v>167</v>
      </c>
      <c r="AG62" s="16" t="s">
        <v>167</v>
      </c>
      <c r="AN62" s="16" t="s">
        <v>167</v>
      </c>
      <c r="AU62" s="16" t="s">
        <v>167</v>
      </c>
      <c r="AZ62" s="16" t="s">
        <v>188</v>
      </c>
      <c r="BF62" s="16" t="s">
        <v>139</v>
      </c>
      <c r="BK62" s="16" t="s">
        <v>167</v>
      </c>
    </row>
    <row r="63" spans="1:63" s="58" customFormat="1" ht="19.5" customHeight="1">
      <c r="A63" s="46" t="s">
        <v>217</v>
      </c>
      <c r="B63" s="151" t="s">
        <v>4</v>
      </c>
      <c r="C63" s="151"/>
      <c r="D63" s="56">
        <v>3</v>
      </c>
      <c r="E63" s="52">
        <f>IF(AND(ISNUMBER(D63),D63&lt;=3),D63,IF(D63="0+",0.3,IF(D63="1-",0.7,IF(D63="1+",1.3,IF(D63="2-",1.7,IF(D63="2+",2.3,IF(D63="3-",2.7,"invalid")))))))</f>
        <v>3</v>
      </c>
      <c r="F63" s="102"/>
      <c r="G63" s="194"/>
      <c r="H63" s="195"/>
      <c r="I63" s="195"/>
      <c r="J63" s="196"/>
      <c r="K63" s="137"/>
      <c r="AA63" s="16" t="s">
        <v>220</v>
      </c>
      <c r="AG63" s="16" t="s">
        <v>222</v>
      </c>
      <c r="AN63" s="16" t="s">
        <v>107</v>
      </c>
      <c r="AU63" s="16" t="s">
        <v>123</v>
      </c>
      <c r="AZ63" s="14" t="s">
        <v>172</v>
      </c>
      <c r="BF63" s="40" t="s">
        <v>140</v>
      </c>
      <c r="BK63" s="16" t="s">
        <v>107</v>
      </c>
    </row>
    <row r="64" spans="1:63" s="58" customFormat="1" ht="19.5" customHeight="1">
      <c r="A64" s="46" t="s">
        <v>218</v>
      </c>
      <c r="B64" s="151" t="s">
        <v>6</v>
      </c>
      <c r="C64" s="151"/>
      <c r="D64" s="56">
        <v>3</v>
      </c>
      <c r="E64" s="52">
        <f>IF(AND(ISNUMBER(D64),D64&lt;=3),D64,IF(D64="0+",0.3,IF(D64="1-",0.7,IF(D64="1+",1.3,IF(D64="2-",1.7,IF(D64="2+",2.3,IF(D64="3-",2.7,"invalid")))))))</f>
        <v>3</v>
      </c>
      <c r="F64" s="102"/>
      <c r="G64" s="197"/>
      <c r="H64" s="275"/>
      <c r="I64" s="275"/>
      <c r="J64" s="276"/>
      <c r="K64" s="137"/>
      <c r="AA64" s="16" t="s">
        <v>223</v>
      </c>
      <c r="AG64" s="40" t="s">
        <v>223</v>
      </c>
      <c r="AN64" s="40" t="s">
        <v>170</v>
      </c>
      <c r="AU64" s="16" t="s">
        <v>124</v>
      </c>
      <c r="AZ64" s="14" t="s">
        <v>173</v>
      </c>
      <c r="BF64" s="40" t="s">
        <v>141</v>
      </c>
      <c r="BK64" s="16"/>
    </row>
    <row r="65" spans="1:63" s="58" customFormat="1" ht="15.75" customHeight="1" thickBot="1">
      <c r="A65" s="46" t="s">
        <v>219</v>
      </c>
      <c r="B65" s="151" t="s">
        <v>12</v>
      </c>
      <c r="C65" s="151"/>
      <c r="D65" s="103">
        <v>3</v>
      </c>
      <c r="E65" s="104">
        <f>IF(AND(ISNUMBER(D65),D65&lt;=3),D65,IF(D65="0+",0.3,IF(D65="1-",0.7,IF(D65="1+",1.3,IF(D65="2-",1.7,IF(D65="2+",2.3,IF(D65="3-",2.7,"no score")))))))</f>
        <v>3</v>
      </c>
      <c r="F65" s="105"/>
      <c r="G65" s="277"/>
      <c r="H65" s="278"/>
      <c r="I65" s="278"/>
      <c r="J65" s="279"/>
      <c r="K65" s="137"/>
      <c r="AA65" s="40" t="s">
        <v>221</v>
      </c>
      <c r="AG65" s="40" t="s">
        <v>224</v>
      </c>
      <c r="AM65" s="14"/>
      <c r="AN65" s="40" t="s">
        <v>104</v>
      </c>
      <c r="AU65" s="40" t="s">
        <v>125</v>
      </c>
      <c r="AZ65" s="14" t="s">
        <v>174</v>
      </c>
      <c r="BK65" s="40" t="s">
        <v>143</v>
      </c>
    </row>
    <row r="66" spans="1:63" s="14" customFormat="1" ht="22.5" customHeight="1">
      <c r="A66" s="149"/>
      <c r="B66" s="150"/>
      <c r="C66" s="150"/>
      <c r="D66" s="92" t="s">
        <v>1</v>
      </c>
      <c r="E66" s="225" t="s">
        <v>204</v>
      </c>
      <c r="F66" s="226"/>
      <c r="G66" s="146" t="s">
        <v>3</v>
      </c>
      <c r="H66" s="161"/>
      <c r="I66" s="230"/>
      <c r="J66" s="231"/>
      <c r="K66" s="15"/>
      <c r="L66" s="82"/>
      <c r="AA66" s="14" t="s">
        <v>225</v>
      </c>
      <c r="AG66" s="40" t="s">
        <v>221</v>
      </c>
      <c r="AH66" s="58"/>
      <c r="AI66" s="58"/>
      <c r="AJ66" s="58"/>
      <c r="AK66" s="58"/>
      <c r="AL66" s="58"/>
      <c r="AN66" s="16" t="s">
        <v>108</v>
      </c>
      <c r="AU66" s="40" t="s">
        <v>126</v>
      </c>
      <c r="AZ66" s="14" t="s">
        <v>186</v>
      </c>
      <c r="BK66" s="40" t="s">
        <v>144</v>
      </c>
    </row>
    <row r="67" spans="1:63" s="14" customFormat="1" ht="19.5" customHeight="1">
      <c r="A67" s="46" t="s">
        <v>217</v>
      </c>
      <c r="B67" s="151" t="s">
        <v>4</v>
      </c>
      <c r="C67" s="151"/>
      <c r="D67" s="56">
        <v>3</v>
      </c>
      <c r="E67" s="52">
        <f>IF(AND(ISNUMBER(D67),D67&lt;=3,OR(D67=0,D67=1,D67=2,D67=3)),D67,IF(OR(D67="0+",D67="0 +"),0.3,IF(OR(D67="1-",D67="1 -"),0.7,IF(OR(D67="1+",D67="1 +"),1.3,IF(OR(D67="2-",D67="2 -"),1.7,IF(OR(D67="2+",D67="2 +"),2.3,IF(OR(D67="3-",D67="3 -"),2.7,"invalid")))))))</f>
        <v>3</v>
      </c>
      <c r="F67" s="102"/>
      <c r="G67" s="194"/>
      <c r="H67" s="195"/>
      <c r="I67" s="195"/>
      <c r="J67" s="196"/>
      <c r="K67" s="15"/>
      <c r="AA67" s="58" t="s">
        <v>227</v>
      </c>
      <c r="AB67" s="58"/>
      <c r="AC67" s="58"/>
      <c r="AD67" s="58"/>
      <c r="AE67" s="58"/>
      <c r="AF67" s="58"/>
      <c r="AG67" s="14" t="s">
        <v>225</v>
      </c>
      <c r="AN67" s="16" t="s">
        <v>120</v>
      </c>
      <c r="AU67" s="16" t="s">
        <v>127</v>
      </c>
      <c r="AZ67" s="14" t="s">
        <v>175</v>
      </c>
      <c r="BK67" s="16" t="s">
        <v>145</v>
      </c>
    </row>
    <row r="68" spans="1:63" s="14" customFormat="1" ht="19.5" customHeight="1">
      <c r="A68" s="46" t="s">
        <v>218</v>
      </c>
      <c r="B68" s="151" t="s">
        <v>6</v>
      </c>
      <c r="C68" s="151"/>
      <c r="D68" s="56">
        <v>3</v>
      </c>
      <c r="E68" s="52">
        <f>IF(AND(ISNUMBER(D68),D68&lt;=3,OR(D68=0,D68=1,D68=2,D68=3)),D68,IF(OR(D68="0+",D68="0 +"),0.3,IF(OR(D68="1-",D68="1 -"),0.7,IF(OR(D68="1+",D68="1 +"),1.3,IF(OR(D68="2-",D68="2 -"),1.7,IF(OR(D68="2+",D68="2 +"),2.3,IF(OR(D68="3-",D68="3 -"),2.7,"invalid")))))))</f>
        <v>3</v>
      </c>
      <c r="F68" s="102"/>
      <c r="G68" s="197"/>
      <c r="H68" s="198"/>
      <c r="I68" s="198"/>
      <c r="J68" s="199"/>
      <c r="K68" s="15"/>
      <c r="AA68" s="14" t="s">
        <v>229</v>
      </c>
      <c r="AG68" s="14" t="s">
        <v>226</v>
      </c>
      <c r="AH68" s="58"/>
      <c r="AI68" s="58"/>
      <c r="AJ68" s="58"/>
      <c r="AK68" s="58"/>
      <c r="AM68" s="58"/>
      <c r="AN68" s="16" t="s">
        <v>109</v>
      </c>
      <c r="AU68" s="16" t="s">
        <v>128</v>
      </c>
      <c r="AZ68" s="14" t="s">
        <v>187</v>
      </c>
      <c r="BK68" s="16" t="s">
        <v>146</v>
      </c>
    </row>
    <row r="69" spans="1:63" s="58" customFormat="1" ht="15.75" customHeight="1" thickBot="1">
      <c r="A69" s="46" t="s">
        <v>219</v>
      </c>
      <c r="B69" s="151" t="s">
        <v>12</v>
      </c>
      <c r="C69" s="151"/>
      <c r="D69" s="103">
        <v>3</v>
      </c>
      <c r="E69" s="104">
        <f>IF(AND(ISNUMBER(D69),D69&lt;=3,OR(D69=0,D69=1,D69=2,D69=3)),D69,IF(OR(D69="0+",D69="0 +"),0.3,IF(OR(D69="1-",D69="1 -"),0.7,IF(OR(D69="1+",D69="1 +"),1.3,IF(OR(D69="2-",D69="2 -"),1.7,IF(OR(D69="2+",D69="2 +"),2.3,IF(OR(D69="3-",D69="3 -"),2.7,"  ")))))))</f>
        <v>3</v>
      </c>
      <c r="F69" s="105"/>
      <c r="G69" s="242"/>
      <c r="H69" s="242"/>
      <c r="I69" s="242"/>
      <c r="J69" s="243"/>
      <c r="K69" s="137"/>
      <c r="AA69" s="16" t="s">
        <v>231</v>
      </c>
      <c r="AG69" s="58" t="s">
        <v>227</v>
      </c>
      <c r="AM69" s="14"/>
      <c r="AN69" s="40" t="s">
        <v>121</v>
      </c>
      <c r="AU69" s="16" t="s">
        <v>129</v>
      </c>
      <c r="AZ69" s="14" t="s">
        <v>176</v>
      </c>
      <c r="BK69" s="16" t="s">
        <v>147</v>
      </c>
    </row>
    <row r="70" spans="1:63" s="14" customFormat="1" ht="22.5" customHeight="1">
      <c r="A70" s="149"/>
      <c r="B70" s="150"/>
      <c r="C70" s="150"/>
      <c r="D70" s="92" t="s">
        <v>1</v>
      </c>
      <c r="E70" s="225" t="s">
        <v>204</v>
      </c>
      <c r="F70" s="226"/>
      <c r="G70" s="146" t="s">
        <v>3</v>
      </c>
      <c r="H70" s="161"/>
      <c r="I70" s="230"/>
      <c r="J70" s="231"/>
      <c r="K70" s="15"/>
      <c r="AA70" s="40" t="s">
        <v>233</v>
      </c>
      <c r="AG70" s="58" t="s">
        <v>228</v>
      </c>
      <c r="AN70" s="16" t="s">
        <v>105</v>
      </c>
      <c r="AU70" s="40" t="s">
        <v>130</v>
      </c>
      <c r="AZ70" s="14" t="s">
        <v>177</v>
      </c>
      <c r="BK70" s="40" t="s">
        <v>148</v>
      </c>
    </row>
    <row r="71" spans="1:63" s="14" customFormat="1" ht="19.5" customHeight="1">
      <c r="A71" s="46" t="s">
        <v>217</v>
      </c>
      <c r="B71" s="151" t="s">
        <v>4</v>
      </c>
      <c r="C71" s="151"/>
      <c r="D71" s="56">
        <v>3</v>
      </c>
      <c r="E71" s="52">
        <f>IF(AND(ISNUMBER(D71),D71&lt;=3,OR(D71=0,D71=1,D71=2,D71=3)),D71,IF(OR(D71="0+",D71="0 +"),0.3,IF(OR(D71="1-",D71="1 -"),0.7,IF(OR(D71="1+",D71="1 +"),1.3,IF(OR(D71="2-",D71="2 -"),1.7,IF(OR(D71="2+",D71="2 +"),2.3,IF(OR(D71="3-",D71="3 -"),2.7,"  ")))))))</f>
        <v>3</v>
      </c>
      <c r="F71" s="102"/>
      <c r="G71" s="194"/>
      <c r="H71" s="195"/>
      <c r="I71" s="195"/>
      <c r="J71" s="196"/>
      <c r="K71" s="15"/>
      <c r="AA71" s="16" t="s">
        <v>234</v>
      </c>
      <c r="AG71" s="14" t="s">
        <v>229</v>
      </c>
      <c r="AN71" s="16" t="s">
        <v>110</v>
      </c>
      <c r="AU71" s="16" t="s">
        <v>131</v>
      </c>
      <c r="AZ71" s="14" t="s">
        <v>178</v>
      </c>
      <c r="BK71" s="16" t="s">
        <v>149</v>
      </c>
    </row>
    <row r="72" spans="1:63" s="14" customFormat="1" ht="19.5" customHeight="1">
      <c r="A72" s="46" t="s">
        <v>218</v>
      </c>
      <c r="B72" s="151" t="s">
        <v>6</v>
      </c>
      <c r="C72" s="151"/>
      <c r="D72" s="56">
        <v>3</v>
      </c>
      <c r="E72" s="52">
        <f>IF(AND(ISNUMBER(D72),D72&lt;=3,OR(D72=0,D72=1,D72=2,D72=3)),D72,IF(OR(D72="0+",D72="0 +"),0.3,IF(OR(D72="1-",D72="1 -"),0.7,IF(OR(D72="1+",D72="1 +"),1.3,IF(OR(D72="2-",D72="2 -"),1.7,IF(OR(D72="2+",D72="2 +"),2.3,IF(OR(D72="3-",D72="3 -"),2.7,"  ")))))))</f>
        <v>3</v>
      </c>
      <c r="F72" s="102"/>
      <c r="G72" s="197"/>
      <c r="H72" s="198"/>
      <c r="I72" s="198"/>
      <c r="J72" s="199"/>
      <c r="K72" s="15"/>
      <c r="AA72" s="16" t="s">
        <v>235</v>
      </c>
      <c r="AB72" s="58"/>
      <c r="AC72" s="58"/>
      <c r="AD72" s="58"/>
      <c r="AE72" s="58"/>
      <c r="AF72" s="58"/>
      <c r="AG72" s="14" t="s">
        <v>230</v>
      </c>
      <c r="AN72" s="40" t="s">
        <v>122</v>
      </c>
      <c r="AU72" s="40" t="s">
        <v>132</v>
      </c>
      <c r="AZ72" s="14" t="s">
        <v>179</v>
      </c>
      <c r="BK72" s="16" t="s">
        <v>150</v>
      </c>
    </row>
    <row r="73" spans="1:63" s="58" customFormat="1" ht="15.75" customHeight="1" thickBot="1">
      <c r="A73" s="46" t="s">
        <v>219</v>
      </c>
      <c r="B73" s="151" t="s">
        <v>12</v>
      </c>
      <c r="C73" s="151"/>
      <c r="D73" s="103">
        <v>3</v>
      </c>
      <c r="E73" s="104">
        <f>IF(AND(ISNUMBER(D73),D73&lt;=3,OR(D73=0,D73=1,D73=2,D73=3)),D73,IF(OR(D73="0+",D73="0 +"),0.3,IF(OR(D73="1-",D73="1 -"),0.7,IF(OR(D73="1+",D73="1 +"),1.3,IF(OR(D73="2-",D73="2 -"),1.7,IF(OR(D73="2+",D73="2 +"),2.3,IF(OR(D73="3-",D73="3 -"),2.7,"  ")))))))</f>
        <v>3</v>
      </c>
      <c r="F73" s="105"/>
      <c r="G73" s="242"/>
      <c r="H73" s="242"/>
      <c r="I73" s="242"/>
      <c r="J73" s="243"/>
      <c r="K73" s="137"/>
      <c r="AA73" s="16" t="s">
        <v>236</v>
      </c>
      <c r="AB73" s="14"/>
      <c r="AC73" s="14"/>
      <c r="AD73" s="14"/>
      <c r="AE73" s="14"/>
      <c r="AF73" s="14"/>
      <c r="AG73" s="16" t="s">
        <v>231</v>
      </c>
      <c r="AH73" s="14"/>
      <c r="AI73" s="14"/>
      <c r="AJ73" s="14"/>
      <c r="AK73" s="14"/>
      <c r="AL73" s="14"/>
      <c r="AM73" s="14"/>
      <c r="AN73" s="40" t="s">
        <v>111</v>
      </c>
      <c r="AU73" s="16" t="s">
        <v>133</v>
      </c>
      <c r="AZ73" s="14" t="s">
        <v>180</v>
      </c>
      <c r="BK73" s="16" t="s">
        <v>151</v>
      </c>
    </row>
    <row r="74" spans="1:63" s="14" customFormat="1" ht="22.5" customHeight="1">
      <c r="A74" s="149"/>
      <c r="B74" s="150"/>
      <c r="C74" s="150"/>
      <c r="D74" s="92" t="s">
        <v>1</v>
      </c>
      <c r="E74" s="225" t="s">
        <v>204</v>
      </c>
      <c r="F74" s="226"/>
      <c r="G74" s="146" t="s">
        <v>3</v>
      </c>
      <c r="H74" s="227"/>
      <c r="I74" s="230"/>
      <c r="J74" s="231"/>
      <c r="K74" s="15"/>
      <c r="AA74" s="16" t="s">
        <v>238</v>
      </c>
      <c r="AG74" s="40" t="s">
        <v>232</v>
      </c>
      <c r="AM74" s="58"/>
      <c r="AN74" s="16" t="s">
        <v>112</v>
      </c>
      <c r="AU74" s="16" t="s">
        <v>134</v>
      </c>
      <c r="AZ74" s="14" t="s">
        <v>181</v>
      </c>
      <c r="BK74" s="40" t="s">
        <v>152</v>
      </c>
    </row>
    <row r="75" spans="1:63" s="14" customFormat="1" ht="19.5" customHeight="1">
      <c r="A75" s="46" t="s">
        <v>217</v>
      </c>
      <c r="B75" s="151" t="s">
        <v>4</v>
      </c>
      <c r="C75" s="151"/>
      <c r="D75" s="56">
        <v>3</v>
      </c>
      <c r="E75" s="52">
        <f>IF(AND(ISNUMBER(D75),D75&lt;=3,OR(D75=0,D75=1,D75=2,D75=3)),D75,IF(OR(D75="0+",D75="0 +"),0.3,IF(OR(D75="1-",D75="1 -"),0.7,IF(OR(D75="1+",D75="1 +"),1.3,IF(OR(D75="2-",D75="2 -"),1.7,IF(OR(D75="2+",D75="2 +"),2.3,IF(OR(D75="3-",D75="3 -"),2.7,"  ")))))))</f>
        <v>3</v>
      </c>
      <c r="F75" s="102"/>
      <c r="G75" s="194"/>
      <c r="H75" s="195"/>
      <c r="I75" s="195"/>
      <c r="J75" s="196"/>
      <c r="K75" s="15"/>
      <c r="AA75" s="16"/>
      <c r="AG75" s="40" t="s">
        <v>233</v>
      </c>
      <c r="AH75" s="58"/>
      <c r="AI75" s="58"/>
      <c r="AJ75" s="58"/>
      <c r="AK75" s="58"/>
      <c r="AL75" s="58"/>
      <c r="AN75" s="16" t="s">
        <v>113</v>
      </c>
      <c r="AU75" s="40" t="s">
        <v>135</v>
      </c>
      <c r="AZ75" s="14" t="s">
        <v>182</v>
      </c>
      <c r="BK75" s="16" t="s">
        <v>153</v>
      </c>
    </row>
    <row r="76" spans="1:63" s="14" customFormat="1" ht="19.5" customHeight="1">
      <c r="A76" s="46" t="s">
        <v>218</v>
      </c>
      <c r="B76" s="151" t="s">
        <v>6</v>
      </c>
      <c r="C76" s="151"/>
      <c r="D76" s="56">
        <v>3</v>
      </c>
      <c r="E76" s="52">
        <f>IF(AND(ISNUMBER(D76),D76&lt;=3,OR(D76=0,D76=1,D76=2,D76=3)),D76,IF(OR(D76="0+",D76="0 +"),0.3,IF(OR(D76="1-",D76="1 -"),0.7,IF(OR(D76="1+",D76="1 +"),1.3,IF(OR(D76="2-",D76="2 -"),1.7,IF(OR(D76="2+",D76="2 +"),2.3,IF(OR(D76="3-",D76="3 -"),2.7,"  ")))))))</f>
        <v>3</v>
      </c>
      <c r="F76" s="102"/>
      <c r="G76" s="197"/>
      <c r="H76" s="198"/>
      <c r="I76" s="198"/>
      <c r="J76" s="199"/>
      <c r="K76" s="15"/>
      <c r="AA76" s="16"/>
      <c r="AG76" s="16" t="s">
        <v>234</v>
      </c>
      <c r="AN76" s="16" t="s">
        <v>114</v>
      </c>
      <c r="AU76" s="16" t="s">
        <v>136</v>
      </c>
      <c r="AZ76" s="14" t="s">
        <v>183</v>
      </c>
      <c r="BK76" s="16" t="s">
        <v>154</v>
      </c>
    </row>
    <row r="77" spans="1:63" s="58" customFormat="1" ht="15.75" customHeight="1" thickBot="1">
      <c r="A77" s="46" t="s">
        <v>219</v>
      </c>
      <c r="B77" s="151" t="s">
        <v>12</v>
      </c>
      <c r="C77" s="151"/>
      <c r="D77" s="103">
        <v>3</v>
      </c>
      <c r="E77" s="104">
        <f>IF(AND(ISNUMBER(D77),D77&lt;=3,OR(D77=0,D77=1,D77=2,D77=3)),D77,IF(OR(D77="0+",D77="0 +"),0.3,IF(OR(D77="1-",D77="1 -"),0.7,IF(OR(D77="1+",D77="1 +"),1.3,IF(OR(D77="2-",D77="2 -"),1.7,IF(OR(D77="2+",D77="2 +"),2.3,IF(OR(D77="3-",D77="3 -"),2.7,"  ")))))))</f>
        <v>3</v>
      </c>
      <c r="F77" s="105"/>
      <c r="G77" s="228"/>
      <c r="H77" s="228"/>
      <c r="I77" s="228"/>
      <c r="J77" s="229"/>
      <c r="K77" s="137"/>
      <c r="AA77" s="14"/>
      <c r="AG77" s="16" t="s">
        <v>235</v>
      </c>
      <c r="AH77" s="14"/>
      <c r="AI77" s="14"/>
      <c r="AJ77" s="14"/>
      <c r="AK77" s="14"/>
      <c r="AL77" s="14"/>
      <c r="AN77" s="16" t="s">
        <v>168</v>
      </c>
      <c r="AU77" s="16" t="s">
        <v>137</v>
      </c>
      <c r="AZ77" s="14" t="s">
        <v>184</v>
      </c>
      <c r="BK77" s="16" t="s">
        <v>155</v>
      </c>
    </row>
    <row r="78" spans="1:63" s="14" customFormat="1" ht="22.5" customHeight="1">
      <c r="A78" s="149"/>
      <c r="B78" s="150"/>
      <c r="C78" s="150"/>
      <c r="D78" s="92" t="s">
        <v>1</v>
      </c>
      <c r="E78" s="225" t="s">
        <v>204</v>
      </c>
      <c r="F78" s="226"/>
      <c r="G78" s="146" t="s">
        <v>3</v>
      </c>
      <c r="H78" s="227"/>
      <c r="I78" s="230"/>
      <c r="J78" s="231"/>
      <c r="K78" s="15"/>
      <c r="AA78" s="58"/>
      <c r="AG78" s="16" t="s">
        <v>236</v>
      </c>
      <c r="AN78" s="16" t="s">
        <v>115</v>
      </c>
      <c r="AU78" s="16" t="s">
        <v>138</v>
      </c>
      <c r="AZ78" s="14" t="s">
        <v>185</v>
      </c>
      <c r="BK78" s="16" t="s">
        <v>156</v>
      </c>
    </row>
    <row r="79" spans="1:63" s="14" customFormat="1" ht="19.5" customHeight="1">
      <c r="A79" s="46" t="s">
        <v>217</v>
      </c>
      <c r="B79" s="151" t="s">
        <v>4</v>
      </c>
      <c r="C79" s="151"/>
      <c r="D79" s="56">
        <v>3</v>
      </c>
      <c r="E79" s="52">
        <f>IF(AND(ISNUMBER(D79),D79&lt;=3,OR(D79=0,D79=1,D79=2,D79=3)),D79,IF(OR(D79="0+",D79="0 +"),0.3,IF(OR(D79="1-",D79="1 -"),0.7,IF(OR(D79="1+",D79="1 +"),1.3,IF(OR(D79="2-",D79="2 -"),1.7,IF(OR(D79="2+",D79="2 +"),2.3,IF(OR(D79="3-",D79="3 -"),2.7,"  ")))))))</f>
        <v>3</v>
      </c>
      <c r="F79" s="102"/>
      <c r="G79" s="194"/>
      <c r="H79" s="195"/>
      <c r="I79" s="195"/>
      <c r="J79" s="196"/>
      <c r="K79" s="15"/>
      <c r="AG79" s="16" t="s">
        <v>237</v>
      </c>
      <c r="AN79" s="16" t="s">
        <v>106</v>
      </c>
      <c r="AU79" s="40" t="s">
        <v>159</v>
      </c>
      <c r="AZ79" s="58"/>
      <c r="BK79" s="16" t="s">
        <v>157</v>
      </c>
    </row>
    <row r="80" spans="1:63" s="14" customFormat="1" ht="19.5" customHeight="1">
      <c r="A80" s="46" t="s">
        <v>218</v>
      </c>
      <c r="B80" s="151" t="s">
        <v>6</v>
      </c>
      <c r="C80" s="151"/>
      <c r="D80" s="56">
        <v>3</v>
      </c>
      <c r="E80" s="52">
        <f>IF(AND(ISNUMBER(D80),D80&lt;=3,OR(D80=0,D80=1,D80=2,D80=3)),D80,IF(OR(D80="0+",D80="0 +"),0.3,IF(OR(D80="1-",D80="1 -"),0.7,IF(OR(D80="1+",D80="1 +"),1.3,IF(OR(D80="2-",D80="2 -"),1.7,IF(OR(D80="2+",D80="2 +"),2.3,IF(OR(D80="3-",D80="3 -"),2.7,"  ")))))))</f>
        <v>3</v>
      </c>
      <c r="F80" s="102"/>
      <c r="G80" s="197"/>
      <c r="H80" s="198"/>
      <c r="I80" s="198"/>
      <c r="J80" s="199"/>
      <c r="K80" s="15"/>
      <c r="AG80" s="40" t="s">
        <v>238</v>
      </c>
      <c r="AN80" s="40" t="s">
        <v>116</v>
      </c>
      <c r="AU80" s="16" t="s">
        <v>160</v>
      </c>
      <c r="BK80" s="40" t="s">
        <v>158</v>
      </c>
    </row>
    <row r="81" spans="1:52" s="58" customFormat="1" ht="15.75" customHeight="1" thickBot="1">
      <c r="A81" s="46" t="s">
        <v>219</v>
      </c>
      <c r="B81" s="151" t="s">
        <v>12</v>
      </c>
      <c r="C81" s="151"/>
      <c r="D81" s="103">
        <v>3</v>
      </c>
      <c r="E81" s="106">
        <f>IF(AND(ISNUMBER(D81),D81&lt;=3,OR(D81=0,D81=1,D81=2,D81=3)),D81,IF(OR(D81="0+",D81="0 +"),0.3,IF(OR(D81="1-",D81="1 -"),0.7,IF(OR(D81="1+",D81="1 +"),1.3,IF(OR(D81="2-",D81="2 -"),1.7,IF(OR(D81="2+",D81="2 +"),2.3,IF(OR(D81="3-",D81="3 -"),2.7," ")))))))</f>
        <v>3</v>
      </c>
      <c r="F81" s="107"/>
      <c r="G81" s="228"/>
      <c r="H81" s="228"/>
      <c r="I81" s="228"/>
      <c r="J81" s="229"/>
      <c r="K81" s="137"/>
      <c r="AA81" s="14"/>
      <c r="AB81" s="14"/>
      <c r="AC81" s="14"/>
      <c r="AD81" s="14"/>
      <c r="AE81" s="14"/>
      <c r="AF81" s="14"/>
      <c r="AG81" s="16" t="s">
        <v>239</v>
      </c>
      <c r="AH81" s="14"/>
      <c r="AI81" s="14"/>
      <c r="AJ81" s="14"/>
      <c r="AK81" s="14"/>
      <c r="AL81" s="14"/>
      <c r="AN81" s="16" t="s">
        <v>117</v>
      </c>
      <c r="AU81" s="16" t="s">
        <v>161</v>
      </c>
      <c r="AZ81" s="14"/>
    </row>
    <row r="82" spans="1:47" s="14" customFormat="1" ht="22.5" customHeight="1">
      <c r="A82" s="149"/>
      <c r="B82" s="150"/>
      <c r="C82" s="150"/>
      <c r="D82" s="92" t="s">
        <v>1</v>
      </c>
      <c r="E82" s="225" t="s">
        <v>204</v>
      </c>
      <c r="F82" s="226"/>
      <c r="G82" s="146" t="s">
        <v>3</v>
      </c>
      <c r="H82" s="227"/>
      <c r="I82" s="230"/>
      <c r="J82" s="231"/>
      <c r="K82" s="15"/>
      <c r="AG82" s="16" t="s">
        <v>241</v>
      </c>
      <c r="AN82" s="16" t="s">
        <v>118</v>
      </c>
      <c r="AU82" s="16" t="s">
        <v>162</v>
      </c>
    </row>
    <row r="83" spans="1:47" s="14" customFormat="1" ht="19.5" customHeight="1">
      <c r="A83" s="46" t="s">
        <v>217</v>
      </c>
      <c r="B83" s="151" t="s">
        <v>4</v>
      </c>
      <c r="C83" s="151"/>
      <c r="D83" s="56">
        <v>3</v>
      </c>
      <c r="E83" s="52">
        <f>IF(AND(ISNUMBER(D83),D83&lt;=3,OR(D83=0,D83=1,D83=2,D83=3)),D83,IF(OR(D83="0+",D83="0 +"),0.3,IF(OR(D83="1-",D83="1 -"),0.7,IF(OR(D83="1+",D83="1 +"),1.3,IF(OR(D83="2-",D83="2 -"),1.7,IF(OR(D83="2+",D83="2 +"),2.3,IF(OR(D83="3-",D83="3 -"),2.7,"  ")))))))</f>
        <v>3</v>
      </c>
      <c r="F83" s="102"/>
      <c r="G83" s="194"/>
      <c r="H83" s="195"/>
      <c r="I83" s="195"/>
      <c r="J83" s="196"/>
      <c r="K83" s="15"/>
      <c r="AG83" s="16" t="s">
        <v>240</v>
      </c>
      <c r="AN83" s="16" t="s">
        <v>119</v>
      </c>
      <c r="AU83" s="16" t="s">
        <v>163</v>
      </c>
    </row>
    <row r="84" spans="1:47" s="14" customFormat="1" ht="19.5" customHeight="1">
      <c r="A84" s="46" t="s">
        <v>218</v>
      </c>
      <c r="B84" s="151" t="s">
        <v>6</v>
      </c>
      <c r="C84" s="151"/>
      <c r="D84" s="56">
        <v>3</v>
      </c>
      <c r="E84" s="52">
        <f>IF(AND(ISNUMBER(D84),D84&lt;=3,OR(D84=0,D84=1,D84=2,D84=3)),D84,IF(OR(D84="0+",D84="0 +"),0.3,IF(OR(D84="1-",D84="1 -"),0.7,IF(OR(D84="1+",D84="1 +"),1.3,IF(OR(D84="2-",D84="2 -"),1.7,IF(OR(D84="2+",D84="2 +"),2.3,IF(OR(D84="3-",D84="3 -"),2.7,"  ")))))))</f>
        <v>3</v>
      </c>
      <c r="F84" s="102"/>
      <c r="G84" s="197"/>
      <c r="H84" s="198"/>
      <c r="I84" s="198"/>
      <c r="J84" s="199"/>
      <c r="K84" s="15"/>
      <c r="AG84" s="16"/>
      <c r="AN84" s="16" t="s">
        <v>169</v>
      </c>
      <c r="AU84" s="16" t="s">
        <v>164</v>
      </c>
    </row>
    <row r="85" spans="1:52" s="58" customFormat="1" ht="15.75" customHeight="1" thickBot="1">
      <c r="A85" s="46" t="s">
        <v>219</v>
      </c>
      <c r="B85" s="151" t="s">
        <v>12</v>
      </c>
      <c r="C85" s="151"/>
      <c r="D85" s="103">
        <v>3</v>
      </c>
      <c r="E85" s="104">
        <f>IF(AND(ISNUMBER(D85),D85&lt;=3,OR(D85=0,D85=1,D85=2,D85=3)),D85,IF(OR(D85="0+",D85="0 +"),0.3,IF(OR(D85="1-",D85="1 -"),0.7,IF(OR(D85="1+",D85="1 +"),1.3,IF(OR(D85="2-",D85="2 -"),1.7,IF(OR(D85="2+",D85="2 +"),2.3,IF(OR(D85="3-",D85="3 -"),2.7," ")))))))</f>
        <v>3</v>
      </c>
      <c r="F85" s="107"/>
      <c r="G85" s="228"/>
      <c r="H85" s="228"/>
      <c r="I85" s="228"/>
      <c r="J85" s="229"/>
      <c r="K85" s="137"/>
      <c r="AA85" s="14"/>
      <c r="AB85" s="14"/>
      <c r="AC85" s="14"/>
      <c r="AD85" s="14"/>
      <c r="AE85" s="14"/>
      <c r="AF85" s="14"/>
      <c r="AG85" s="13"/>
      <c r="AH85" s="14"/>
      <c r="AI85" s="14"/>
      <c r="AJ85" s="14"/>
      <c r="AK85" s="14"/>
      <c r="AL85" s="14"/>
      <c r="AM85" s="14"/>
      <c r="AN85" s="14"/>
      <c r="AU85" s="16" t="s">
        <v>165</v>
      </c>
      <c r="AZ85" s="14"/>
    </row>
    <row r="86" spans="1:47" s="14" customFormat="1" ht="22.5" customHeight="1">
      <c r="A86" s="149"/>
      <c r="B86" s="150"/>
      <c r="C86" s="150"/>
      <c r="D86" s="92" t="s">
        <v>1</v>
      </c>
      <c r="E86" s="225" t="s">
        <v>204</v>
      </c>
      <c r="F86" s="226"/>
      <c r="G86" s="146" t="s">
        <v>3</v>
      </c>
      <c r="H86" s="227"/>
      <c r="I86" s="230"/>
      <c r="J86" s="231"/>
      <c r="K86" s="15"/>
      <c r="AG86" s="12"/>
      <c r="AN86" s="58"/>
      <c r="AU86" s="16" t="s">
        <v>166</v>
      </c>
    </row>
    <row r="87" spans="1:33" s="14" customFormat="1" ht="19.5" customHeight="1">
      <c r="A87" s="46" t="s">
        <v>217</v>
      </c>
      <c r="B87" s="151" t="s">
        <v>4</v>
      </c>
      <c r="C87" s="151"/>
      <c r="D87" s="56">
        <v>3</v>
      </c>
      <c r="E87" s="52">
        <f>IF(AND(ISNUMBER(D87),D87&lt;=3,OR(D87=0,D87=1,D87=2,D87=3)),D87,IF(OR(D87="0+",D87="0 +"),0.3,IF(OR(D87="1-",D87="1 -"),0.7,IF(OR(D87="1+",D87="1 +"),1.3,IF(OR(D87="2-",D87="2 -"),1.7,IF(OR(D87="2+",D87="2 +"),2.3,IF(OR(D87="3-",D87="3 -"),2.7,"  ")))))))</f>
        <v>3</v>
      </c>
      <c r="F87" s="102"/>
      <c r="G87" s="194"/>
      <c r="H87" s="195"/>
      <c r="I87" s="195"/>
      <c r="J87" s="196"/>
      <c r="K87" s="15"/>
      <c r="AG87" s="12"/>
    </row>
    <row r="88" spans="1:33" s="14" customFormat="1" ht="19.5" customHeight="1">
      <c r="A88" s="46" t="s">
        <v>218</v>
      </c>
      <c r="B88" s="151" t="s">
        <v>6</v>
      </c>
      <c r="C88" s="151"/>
      <c r="D88" s="56">
        <v>3</v>
      </c>
      <c r="E88" s="52">
        <f>IF(AND(ISNUMBER(D88),D88&lt;=3,OR(D88=0,D88=1,D88=2,D88=3)),D88,IF(OR(D88="0+",D88="0 +"),0.3,IF(OR(D88="1-",D88="1 -"),0.7,IF(OR(D88="1+",D88="1 +"),1.3,IF(OR(D88="2-",D88="2 -"),1.7,IF(OR(D88="2+",D88="2 +"),2.3,IF(OR(D88="3-",D88="3 -"),2.7,"  ")))))))</f>
        <v>3</v>
      </c>
      <c r="F88" s="102"/>
      <c r="G88" s="197"/>
      <c r="H88" s="198"/>
      <c r="I88" s="198"/>
      <c r="J88" s="199"/>
      <c r="K88" s="15"/>
      <c r="AG88" s="16"/>
    </row>
    <row r="89" spans="1:52" s="58" customFormat="1" ht="15.75" customHeight="1">
      <c r="A89" s="46" t="s">
        <v>219</v>
      </c>
      <c r="B89" s="151" t="s">
        <v>12</v>
      </c>
      <c r="C89" s="151"/>
      <c r="D89" s="56">
        <v>3</v>
      </c>
      <c r="E89" s="108">
        <f>IF(AND(ISNUMBER(D89),D89&lt;=3,OR(D89=0,D89=1,D89=2,D89=3)),D89,IF(OR(D89="0+",D89="0 +"),0.3,IF(OR(D89="1-",D89="1 -"),0.7,IF(OR(D89="1+",D89="1 +"),1.3,IF(OR(D89="2-",D89="2 -"),1.7,IF(OR(D89="2+",D89="2 +"),2.3,IF(OR(D89="3-",D89="3 -"),2.7," ")))))))</f>
        <v>3</v>
      </c>
      <c r="F89" s="109"/>
      <c r="G89" s="198"/>
      <c r="H89" s="198"/>
      <c r="I89" s="198"/>
      <c r="J89" s="199"/>
      <c r="K89" s="137"/>
      <c r="AA89" s="14"/>
      <c r="AB89" s="14"/>
      <c r="AC89" s="14"/>
      <c r="AD89" s="14"/>
      <c r="AE89" s="14"/>
      <c r="AF89" s="14"/>
      <c r="AG89" s="40"/>
      <c r="AH89" s="14"/>
      <c r="AI89" s="14"/>
      <c r="AJ89" s="14"/>
      <c r="AK89" s="14"/>
      <c r="AL89" s="14"/>
      <c r="AM89" s="14"/>
      <c r="AU89" s="14"/>
      <c r="AZ89" s="14"/>
    </row>
    <row r="90" spans="1:67" s="19" customFormat="1" ht="12" customHeight="1" thickBot="1">
      <c r="A90" s="284" t="s">
        <v>93</v>
      </c>
      <c r="B90" s="285"/>
      <c r="C90" s="285"/>
      <c r="D90" s="285"/>
      <c r="E90" s="285"/>
      <c r="F90" s="285"/>
      <c r="G90" s="285"/>
      <c r="H90" s="285"/>
      <c r="I90" s="285"/>
      <c r="J90" s="286"/>
      <c r="K90" s="134"/>
      <c r="AA90" s="14"/>
      <c r="AB90" s="14"/>
      <c r="AC90" s="14"/>
      <c r="AD90" s="14"/>
      <c r="AE90" s="14"/>
      <c r="AF90" s="14"/>
      <c r="AG90" s="16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</row>
    <row r="91" spans="1:33" s="14" customFormat="1" ht="12.75" customHeight="1">
      <c r="A91" s="110" t="s">
        <v>211</v>
      </c>
      <c r="B91" s="97"/>
      <c r="C91" s="97"/>
      <c r="D91" s="111"/>
      <c r="E91" s="97"/>
      <c r="F91" s="97"/>
      <c r="G91" s="112"/>
      <c r="H91" s="113"/>
      <c r="I91" s="114"/>
      <c r="J91" s="115"/>
      <c r="K91" s="15"/>
      <c r="AG91" s="16"/>
    </row>
    <row r="92" spans="1:11" s="14" customFormat="1" ht="12.75" customHeight="1" thickBot="1">
      <c r="A92" s="116"/>
      <c r="B92" s="117" t="s">
        <v>39</v>
      </c>
      <c r="C92" s="118"/>
      <c r="D92" s="113"/>
      <c r="E92" s="288" t="s">
        <v>40</v>
      </c>
      <c r="F92" s="288"/>
      <c r="G92" s="287" t="s">
        <v>3</v>
      </c>
      <c r="H92" s="287"/>
      <c r="I92" s="282"/>
      <c r="J92" s="283"/>
      <c r="K92" s="15"/>
    </row>
    <row r="93" spans="1:11" s="14" customFormat="1" ht="12.75" customHeight="1" thickBot="1">
      <c r="A93" s="119"/>
      <c r="B93" s="47" t="s">
        <v>4</v>
      </c>
      <c r="C93" s="47"/>
      <c r="D93" s="120"/>
      <c r="E93" s="121">
        <f>Assist!C10</f>
        <v>3</v>
      </c>
      <c r="F93" s="47" t="s">
        <v>190</v>
      </c>
      <c r="G93" s="122"/>
      <c r="H93" s="123"/>
      <c r="I93" s="123"/>
      <c r="J93" s="99"/>
      <c r="K93" s="15"/>
    </row>
    <row r="94" spans="1:11" s="14" customFormat="1" ht="12.75" customHeight="1" thickBot="1">
      <c r="A94" s="119"/>
      <c r="B94" s="50" t="s">
        <v>6</v>
      </c>
      <c r="C94" s="47"/>
      <c r="D94" s="120"/>
      <c r="E94" s="121">
        <f>Assist!G10</f>
        <v>3</v>
      </c>
      <c r="F94" s="47" t="s">
        <v>191</v>
      </c>
      <c r="G94" s="122"/>
      <c r="H94" s="123"/>
      <c r="I94" s="123"/>
      <c r="J94" s="99"/>
      <c r="K94" s="15"/>
    </row>
    <row r="95" spans="1:11" s="14" customFormat="1" ht="12.75" customHeight="1" thickBot="1">
      <c r="A95" s="124"/>
      <c r="B95" s="125" t="s">
        <v>12</v>
      </c>
      <c r="C95" s="126"/>
      <c r="D95" s="127"/>
      <c r="E95" s="121">
        <f>Assist!K10</f>
        <v>3</v>
      </c>
      <c r="F95" s="126" t="s">
        <v>192</v>
      </c>
      <c r="G95" s="128"/>
      <c r="H95" s="129"/>
      <c r="I95" s="129"/>
      <c r="J95" s="130"/>
      <c r="K95" s="15"/>
    </row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pans="34:39" s="14" customFormat="1" ht="12.75">
      <c r="AH488" s="41"/>
      <c r="AI488" s="41"/>
      <c r="AJ488" s="41"/>
      <c r="AK488" s="41"/>
      <c r="AL488" s="41"/>
      <c r="AM488" s="41"/>
    </row>
    <row r="489" spans="27:39" s="14" customFormat="1" ht="12.75">
      <c r="AA489" s="41"/>
      <c r="AB489" s="41"/>
      <c r="AC489" s="41"/>
      <c r="AD489" s="41"/>
      <c r="AE489" s="41"/>
      <c r="AF489" s="41"/>
      <c r="AH489" s="41"/>
      <c r="AI489" s="41"/>
      <c r="AJ489" s="41"/>
      <c r="AK489" s="41"/>
      <c r="AL489" s="41"/>
      <c r="AM489" s="41"/>
    </row>
    <row r="490" spans="27:39" s="14" customFormat="1" ht="12.75">
      <c r="AA490" s="41"/>
      <c r="AB490" s="41"/>
      <c r="AC490" s="41"/>
      <c r="AD490" s="41"/>
      <c r="AE490" s="41"/>
      <c r="AF490" s="41"/>
      <c r="AH490" s="41"/>
      <c r="AI490" s="41"/>
      <c r="AJ490" s="41"/>
      <c r="AK490" s="41"/>
      <c r="AL490" s="41"/>
      <c r="AM490" s="41"/>
    </row>
    <row r="491" spans="27:39" s="14" customFormat="1" ht="12.75">
      <c r="AA491" s="41"/>
      <c r="AB491" s="41"/>
      <c r="AC491" s="41"/>
      <c r="AD491" s="41"/>
      <c r="AE491" s="41"/>
      <c r="AF491" s="41"/>
      <c r="AH491" s="41"/>
      <c r="AI491" s="41"/>
      <c r="AJ491" s="41"/>
      <c r="AK491" s="41"/>
      <c r="AL491" s="41"/>
      <c r="AM491" s="41"/>
    </row>
    <row r="492" spans="27:39" s="14" customFormat="1" ht="12.75"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</row>
    <row r="493" spans="27:39" s="14" customFormat="1" ht="12.75"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</row>
    <row r="494" spans="27:39" s="14" customFormat="1" ht="12.75"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</row>
    <row r="495" spans="27:39" s="14" customFormat="1" ht="12.75"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</row>
    <row r="496" spans="27:39" s="14" customFormat="1" ht="12.75"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</row>
    <row r="497" spans="27:39" s="14" customFormat="1" ht="12.75"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</row>
    <row r="498" spans="27:39" s="14" customFormat="1" ht="12.75"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</row>
    <row r="499" spans="27:39" s="14" customFormat="1" ht="12.75"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</row>
    <row r="500" spans="27:39" s="14" customFormat="1" ht="12.75"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</row>
  </sheetData>
  <sheetProtection password="DD15" sheet="1" objects="1" scenarios="1" selectLockedCells="1"/>
  <mergeCells count="204">
    <mergeCell ref="G89:J89"/>
    <mergeCell ref="G73:J73"/>
    <mergeCell ref="G75:J75"/>
    <mergeCell ref="G76:J76"/>
    <mergeCell ref="G77:J77"/>
    <mergeCell ref="I82:J82"/>
    <mergeCell ref="I78:J78"/>
    <mergeCell ref="G74:H74"/>
    <mergeCell ref="G83:J83"/>
    <mergeCell ref="G84:J84"/>
    <mergeCell ref="I92:J92"/>
    <mergeCell ref="A90:J90"/>
    <mergeCell ref="I86:J86"/>
    <mergeCell ref="E86:F86"/>
    <mergeCell ref="G86:H86"/>
    <mergeCell ref="B87:C87"/>
    <mergeCell ref="G92:H92"/>
    <mergeCell ref="E92:F92"/>
    <mergeCell ref="B88:C88"/>
    <mergeCell ref="B89:C89"/>
    <mergeCell ref="I53:J53"/>
    <mergeCell ref="I66:J66"/>
    <mergeCell ref="I62:J62"/>
    <mergeCell ref="G63:J63"/>
    <mergeCell ref="G64:J64"/>
    <mergeCell ref="G65:J65"/>
    <mergeCell ref="G56:H56"/>
    <mergeCell ref="G54:H54"/>
    <mergeCell ref="G59:H59"/>
    <mergeCell ref="G58:H58"/>
    <mergeCell ref="A48:J48"/>
    <mergeCell ref="I49:J49"/>
    <mergeCell ref="I47:J47"/>
    <mergeCell ref="F5:J5"/>
    <mergeCell ref="F6:J6"/>
    <mergeCell ref="F7:J7"/>
    <mergeCell ref="F8:J8"/>
    <mergeCell ref="I9:J9"/>
    <mergeCell ref="F10:J10"/>
    <mergeCell ref="F11:J11"/>
    <mergeCell ref="A1:J1"/>
    <mergeCell ref="I2:J2"/>
    <mergeCell ref="I3:J3"/>
    <mergeCell ref="I4:J4"/>
    <mergeCell ref="F3:G3"/>
    <mergeCell ref="D2:E2"/>
    <mergeCell ref="F2:G2"/>
    <mergeCell ref="A2:B2"/>
    <mergeCell ref="D3:E3"/>
    <mergeCell ref="A3:B3"/>
    <mergeCell ref="BF59:BG60"/>
    <mergeCell ref="BK59:BM60"/>
    <mergeCell ref="AA59:AB60"/>
    <mergeCell ref="AG59:AH60"/>
    <mergeCell ref="AN59:AO60"/>
    <mergeCell ref="AU59:AV60"/>
    <mergeCell ref="AZ59:BA60"/>
    <mergeCell ref="E74:F74"/>
    <mergeCell ref="E66:F66"/>
    <mergeCell ref="G67:J67"/>
    <mergeCell ref="I70:J70"/>
    <mergeCell ref="G69:J69"/>
    <mergeCell ref="G71:J71"/>
    <mergeCell ref="G62:H62"/>
    <mergeCell ref="E78:F78"/>
    <mergeCell ref="E82:F82"/>
    <mergeCell ref="A51:B51"/>
    <mergeCell ref="D51:E51"/>
    <mergeCell ref="F51:G51"/>
    <mergeCell ref="A52:B52"/>
    <mergeCell ref="D52:E52"/>
    <mergeCell ref="F52:G52"/>
    <mergeCell ref="B68:C68"/>
    <mergeCell ref="G82:H82"/>
    <mergeCell ref="G68:J68"/>
    <mergeCell ref="G85:J85"/>
    <mergeCell ref="G80:J80"/>
    <mergeCell ref="G81:J81"/>
    <mergeCell ref="G78:H78"/>
    <mergeCell ref="G79:J79"/>
    <mergeCell ref="G70:H70"/>
    <mergeCell ref="G72:J72"/>
    <mergeCell ref="I74:J74"/>
    <mergeCell ref="E58:F58"/>
    <mergeCell ref="B72:C72"/>
    <mergeCell ref="B69:C69"/>
    <mergeCell ref="B71:C71"/>
    <mergeCell ref="E62:F62"/>
    <mergeCell ref="B63:C63"/>
    <mergeCell ref="B64:C64"/>
    <mergeCell ref="E59:F59"/>
    <mergeCell ref="E70:F70"/>
    <mergeCell ref="B67:C67"/>
    <mergeCell ref="E55:F55"/>
    <mergeCell ref="A49:B49"/>
    <mergeCell ref="E57:F57"/>
    <mergeCell ref="E56:F56"/>
    <mergeCell ref="E54:F54"/>
    <mergeCell ref="A50:J50"/>
    <mergeCell ref="G57:H57"/>
    <mergeCell ref="G55:H55"/>
    <mergeCell ref="I51:J51"/>
    <mergeCell ref="I52:J52"/>
    <mergeCell ref="G87:J87"/>
    <mergeCell ref="G88:J88"/>
    <mergeCell ref="A40:B40"/>
    <mergeCell ref="F40:G40"/>
    <mergeCell ref="B83:C83"/>
    <mergeCell ref="A41:C41"/>
    <mergeCell ref="C40:D40"/>
    <mergeCell ref="A44:C44"/>
    <mergeCell ref="A45:C45"/>
    <mergeCell ref="C46:E46"/>
    <mergeCell ref="A42:C42"/>
    <mergeCell ref="A43:C43"/>
    <mergeCell ref="B38:D38"/>
    <mergeCell ref="B37:C37"/>
    <mergeCell ref="F38:J38"/>
    <mergeCell ref="F37:J37"/>
    <mergeCell ref="F33:J33"/>
    <mergeCell ref="F34:J34"/>
    <mergeCell ref="F35:J35"/>
    <mergeCell ref="F36:J36"/>
    <mergeCell ref="B17:C17"/>
    <mergeCell ref="B18:C18"/>
    <mergeCell ref="B36:C36"/>
    <mergeCell ref="B35:C35"/>
    <mergeCell ref="B34:C34"/>
    <mergeCell ref="B24:C24"/>
    <mergeCell ref="B25:C25"/>
    <mergeCell ref="B29:C29"/>
    <mergeCell ref="B33:C33"/>
    <mergeCell ref="F25:J25"/>
    <mergeCell ref="F21:J21"/>
    <mergeCell ref="I22:J22"/>
    <mergeCell ref="F23:J23"/>
    <mergeCell ref="F24:J24"/>
    <mergeCell ref="I14:J14"/>
    <mergeCell ref="F15:J15"/>
    <mergeCell ref="F16:J16"/>
    <mergeCell ref="B15:C15"/>
    <mergeCell ref="B16:C16"/>
    <mergeCell ref="B5:C5"/>
    <mergeCell ref="B6:C6"/>
    <mergeCell ref="B10:C10"/>
    <mergeCell ref="B7:C7"/>
    <mergeCell ref="B8:D8"/>
    <mergeCell ref="F28:J28"/>
    <mergeCell ref="F29:J29"/>
    <mergeCell ref="E9:F9"/>
    <mergeCell ref="B11:C11"/>
    <mergeCell ref="F27:J27"/>
    <mergeCell ref="B12:C12"/>
    <mergeCell ref="B13:D13"/>
    <mergeCell ref="F12:J12"/>
    <mergeCell ref="F13:J13"/>
    <mergeCell ref="F26:J26"/>
    <mergeCell ref="F31:J31"/>
    <mergeCell ref="I32:J32"/>
    <mergeCell ref="B30:C30"/>
    <mergeCell ref="B31:D31"/>
    <mergeCell ref="F30:J30"/>
    <mergeCell ref="G32:H32"/>
    <mergeCell ref="E32:F32"/>
    <mergeCell ref="D47:E47"/>
    <mergeCell ref="B23:C23"/>
    <mergeCell ref="G44:J46"/>
    <mergeCell ref="F17:J17"/>
    <mergeCell ref="B20:C20"/>
    <mergeCell ref="G22:H22"/>
    <mergeCell ref="E22:F22"/>
    <mergeCell ref="B26:C26"/>
    <mergeCell ref="B27:C27"/>
    <mergeCell ref="B28:C28"/>
    <mergeCell ref="B85:C85"/>
    <mergeCell ref="D49:E49"/>
    <mergeCell ref="F49:G49"/>
    <mergeCell ref="B81:C81"/>
    <mergeCell ref="B77:C77"/>
    <mergeCell ref="G66:H66"/>
    <mergeCell ref="B80:C80"/>
    <mergeCell ref="B75:C75"/>
    <mergeCell ref="B73:C73"/>
    <mergeCell ref="B79:C79"/>
    <mergeCell ref="G4:H4"/>
    <mergeCell ref="E4:F4"/>
    <mergeCell ref="B21:D21"/>
    <mergeCell ref="B19:C19"/>
    <mergeCell ref="F20:J20"/>
    <mergeCell ref="G14:H14"/>
    <mergeCell ref="E14:F14"/>
    <mergeCell ref="G9:H9"/>
    <mergeCell ref="F18:J18"/>
    <mergeCell ref="F19:J19"/>
    <mergeCell ref="A86:C86"/>
    <mergeCell ref="A82:C82"/>
    <mergeCell ref="A62:C62"/>
    <mergeCell ref="A66:C66"/>
    <mergeCell ref="A70:C70"/>
    <mergeCell ref="A74:C74"/>
    <mergeCell ref="B76:C76"/>
    <mergeCell ref="B84:C84"/>
    <mergeCell ref="A78:C78"/>
    <mergeCell ref="B65:C65"/>
  </mergeCells>
  <dataValidations count="5">
    <dataValidation type="list" allowBlank="1" showInputMessage="1" showErrorMessage="1" sqref="D37">
      <formula1>$AA$1:$AA$11</formula1>
    </dataValidation>
    <dataValidation type="list" showInputMessage="1" showErrorMessage="1" sqref="D87:D89 D15 D17 D23:D30 D33:D34 D85 D71:D73 D75:D77 D79:D81 D83 D11 D69">
      <formula1>$AA$2:$AA$12</formula1>
    </dataValidation>
    <dataValidation type="list" allowBlank="1" showInputMessage="1" showErrorMessage="1" sqref="D84">
      <formula1>$AA$2:$AA$12</formula1>
    </dataValidation>
    <dataValidation type="list" showInputMessage="1" showErrorMessage="1" sqref="D35:D36 D5 D10 D18:D20 D63:D65 D12 D67:D68">
      <formula1>$AA$2:$AA$11</formula1>
    </dataValidation>
    <dataValidation type="list" allowBlank="1" showInputMessage="1" showErrorMessage="1" sqref="I2">
      <formula1>$Z$2:$Z$8</formula1>
    </dataValidation>
  </dataValidations>
  <printOptions horizontalCentered="1"/>
  <pageMargins left="0.1968503937007874" right="0.1968503937007874" top="0.3937007874015748" bottom="0.1968503937007874" header="0.5118110236220472" footer="0.3937007874015748"/>
  <pageSetup horizontalDpi="600" verticalDpi="600" orientation="portrait" paperSize="9" scale="99" r:id="rId2"/>
  <headerFooter alignWithMargins="0">
    <oddFooter>&amp;L&amp;9© NZ Transport Agency&amp;R&amp;9 Version 3.1, June 2009, Page &amp;P of &amp;N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1">
      <selection activeCell="E62" sqref="E62"/>
    </sheetView>
  </sheetViews>
  <sheetFormatPr defaultColWidth="9.140625" defaultRowHeight="12.75"/>
  <cols>
    <col min="5" max="5" width="12.8515625" style="0" customWidth="1"/>
    <col min="6" max="6" width="13.7109375" style="0" customWidth="1"/>
    <col min="14" max="14" width="14.7109375" style="0" customWidth="1"/>
  </cols>
  <sheetData>
    <row r="1" spans="1:15" ht="12.75">
      <c r="A1" s="1"/>
      <c r="B1" s="2" t="s">
        <v>41</v>
      </c>
      <c r="C1" s="2"/>
      <c r="D1" s="2"/>
      <c r="E1" s="2"/>
      <c r="F1" s="2" t="s">
        <v>42</v>
      </c>
      <c r="G1" s="2"/>
      <c r="H1" s="2"/>
      <c r="I1" s="2"/>
      <c r="J1" s="2" t="s">
        <v>43</v>
      </c>
      <c r="K1" s="2"/>
      <c r="L1" s="2"/>
      <c r="M1" s="3"/>
      <c r="N1" s="3"/>
      <c r="O1" s="3"/>
    </row>
    <row r="2" spans="1:15" ht="12.75">
      <c r="A2" s="4" t="s">
        <v>0</v>
      </c>
      <c r="B2" s="2"/>
      <c r="C2" s="5">
        <f>Main!E63</f>
        <v>3</v>
      </c>
      <c r="D2" s="2"/>
      <c r="E2" s="2"/>
      <c r="F2" s="2"/>
      <c r="G2" s="5">
        <f>Main!E64</f>
        <v>3</v>
      </c>
      <c r="H2" s="2"/>
      <c r="I2" s="2"/>
      <c r="J2" s="2"/>
      <c r="K2" s="5">
        <f>Main!E65</f>
        <v>3</v>
      </c>
      <c r="L2" s="2"/>
      <c r="M2" s="3"/>
      <c r="N2" s="3"/>
      <c r="O2" s="3"/>
    </row>
    <row r="3" spans="1:15" ht="12.75">
      <c r="A3" s="4" t="s">
        <v>8</v>
      </c>
      <c r="B3" s="2"/>
      <c r="C3" s="5">
        <f>Main!E67</f>
        <v>3</v>
      </c>
      <c r="D3" s="2"/>
      <c r="E3" s="2"/>
      <c r="F3" s="2"/>
      <c r="G3" s="5">
        <f>Main!E68</f>
        <v>3</v>
      </c>
      <c r="H3" s="2"/>
      <c r="I3" s="2"/>
      <c r="J3" s="2"/>
      <c r="K3" s="5">
        <f>Main!E69</f>
        <v>3</v>
      </c>
      <c r="L3" s="2"/>
      <c r="M3" s="3"/>
      <c r="N3" s="3"/>
      <c r="O3" s="3"/>
    </row>
    <row r="4" spans="1:15" ht="12.75">
      <c r="A4" s="4" t="s">
        <v>10</v>
      </c>
      <c r="B4" s="2"/>
      <c r="C4" s="5">
        <f>Main!E71</f>
        <v>3</v>
      </c>
      <c r="D4" s="2"/>
      <c r="E4" s="2"/>
      <c r="F4" s="2"/>
      <c r="G4" s="5">
        <f>Main!E72</f>
        <v>3</v>
      </c>
      <c r="H4" s="2"/>
      <c r="I4" s="2"/>
      <c r="J4" s="2"/>
      <c r="K4" s="5">
        <f>Main!E73</f>
        <v>3</v>
      </c>
      <c r="L4" s="2"/>
      <c r="M4" s="3"/>
      <c r="N4" s="3"/>
      <c r="O4" s="3"/>
    </row>
    <row r="5" spans="1:15" ht="12.75">
      <c r="A5" s="4" t="s">
        <v>14</v>
      </c>
      <c r="B5" s="2"/>
      <c r="C5" s="5">
        <f>Main!E75</f>
        <v>3</v>
      </c>
      <c r="D5" s="2"/>
      <c r="E5" s="2"/>
      <c r="F5" s="2"/>
      <c r="G5" s="5">
        <f>Main!E76</f>
        <v>3</v>
      </c>
      <c r="H5" s="2"/>
      <c r="I5" s="2"/>
      <c r="J5" s="2"/>
      <c r="K5" s="5">
        <f>Main!E77</f>
        <v>3</v>
      </c>
      <c r="L5" s="2"/>
      <c r="M5" s="3"/>
      <c r="N5" s="3"/>
      <c r="O5" s="3"/>
    </row>
    <row r="6" spans="1:15" ht="12.75">
      <c r="A6" s="4" t="s">
        <v>17</v>
      </c>
      <c r="B6" s="2"/>
      <c r="C6" s="5">
        <f>Main!E79</f>
        <v>3</v>
      </c>
      <c r="D6" s="2"/>
      <c r="E6" s="2"/>
      <c r="F6" s="2"/>
      <c r="G6" s="5">
        <f>Main!E80</f>
        <v>3</v>
      </c>
      <c r="H6" s="2"/>
      <c r="I6" s="2"/>
      <c r="J6" s="2"/>
      <c r="K6" s="5">
        <f>Main!E81</f>
        <v>3</v>
      </c>
      <c r="L6" s="2"/>
      <c r="M6" s="3"/>
      <c r="N6" s="3"/>
      <c r="O6" s="3"/>
    </row>
    <row r="7" spans="1:15" ht="12.75">
      <c r="A7" s="4" t="s">
        <v>37</v>
      </c>
      <c r="B7" s="2"/>
      <c r="C7" s="5">
        <f>Main!E83</f>
        <v>3</v>
      </c>
      <c r="D7" s="2"/>
      <c r="E7" s="2"/>
      <c r="F7" s="2"/>
      <c r="G7" s="5">
        <f>Main!E84</f>
        <v>3</v>
      </c>
      <c r="H7" s="2"/>
      <c r="I7" s="2"/>
      <c r="J7" s="2"/>
      <c r="K7" s="5">
        <f>Main!E85</f>
        <v>3</v>
      </c>
      <c r="L7" s="2"/>
      <c r="M7" s="3"/>
      <c r="N7" s="3"/>
      <c r="O7" s="3"/>
    </row>
    <row r="8" spans="1:15" ht="12.75">
      <c r="A8" s="4" t="s">
        <v>38</v>
      </c>
      <c r="B8" s="2"/>
      <c r="C8" s="5">
        <f>Main!E87</f>
        <v>3</v>
      </c>
      <c r="D8" s="2"/>
      <c r="E8" s="2"/>
      <c r="F8" s="2"/>
      <c r="G8" s="5">
        <f>Main!E88</f>
        <v>3</v>
      </c>
      <c r="H8" s="2"/>
      <c r="I8" s="2"/>
      <c r="J8" s="2"/>
      <c r="K8" s="5">
        <f>Main!E89</f>
        <v>3</v>
      </c>
      <c r="L8" s="2"/>
      <c r="M8" s="3"/>
      <c r="N8" s="3"/>
      <c r="O8" s="3"/>
    </row>
    <row r="9" spans="1:15" ht="12.75">
      <c r="A9" s="1"/>
      <c r="B9" s="2"/>
      <c r="C9" s="5"/>
      <c r="D9" s="2"/>
      <c r="E9" s="2"/>
      <c r="F9" s="2"/>
      <c r="G9" s="5"/>
      <c r="H9" s="2"/>
      <c r="I9" s="2"/>
      <c r="J9" s="2"/>
      <c r="K9" s="5"/>
      <c r="L9" s="2"/>
      <c r="M9" s="3"/>
      <c r="N9" s="3"/>
      <c r="O9" s="3"/>
    </row>
    <row r="10" spans="1:15" ht="12.75">
      <c r="A10" s="6" t="s">
        <v>44</v>
      </c>
      <c r="B10" s="2"/>
      <c r="C10" s="5">
        <f>AVERAGE(C2:C8)</f>
        <v>3</v>
      </c>
      <c r="D10" s="2"/>
      <c r="E10" s="2"/>
      <c r="F10" s="2"/>
      <c r="G10" s="5">
        <f>AVERAGE(G2:G8)</f>
        <v>3</v>
      </c>
      <c r="H10" s="2"/>
      <c r="I10" s="2"/>
      <c r="J10" s="2"/>
      <c r="K10" s="5">
        <f>AVERAGE(K2:K8)</f>
        <v>3</v>
      </c>
      <c r="L10" s="2"/>
      <c r="M10" s="3"/>
      <c r="N10" s="3"/>
      <c r="O10" s="3"/>
    </row>
    <row r="11" spans="1:15" ht="12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</row>
    <row r="12" spans="1:15" ht="12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</row>
    <row r="13" spans="1:16" ht="12.75">
      <c r="A13" s="2" t="s">
        <v>45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</row>
    <row r="14" spans="1:16" ht="12.75">
      <c r="A14" s="1" t="s">
        <v>46</v>
      </c>
      <c r="B14" s="5">
        <v>1.1</v>
      </c>
      <c r="C14" s="2">
        <f>IF(Main!E5&lt;1.7,1,0)</f>
        <v>0</v>
      </c>
      <c r="D14" s="2" t="s">
        <v>47</v>
      </c>
      <c r="E14" s="5">
        <v>1.1</v>
      </c>
      <c r="F14" s="2">
        <f>IF(Main!E63&lt;1.7,1,0)</f>
        <v>0</v>
      </c>
      <c r="G14" s="2"/>
      <c r="H14" s="5"/>
      <c r="I14" s="7">
        <f>Main!I2</f>
        <v>0</v>
      </c>
      <c r="J14" s="2"/>
      <c r="K14" s="2"/>
      <c r="L14" s="2"/>
      <c r="M14" s="3"/>
      <c r="N14" s="3"/>
      <c r="O14" s="3"/>
      <c r="P14" s="3"/>
    </row>
    <row r="15" spans="1:16" ht="12.75">
      <c r="A15" s="1"/>
      <c r="B15" s="5">
        <v>1.3</v>
      </c>
      <c r="C15" s="2">
        <f>IF(Main!E10&lt;1.7,1,0)</f>
        <v>0</v>
      </c>
      <c r="D15" s="2"/>
      <c r="E15" s="5">
        <v>1.2</v>
      </c>
      <c r="F15" s="2">
        <f>IF(Main!E64&lt;1.7,1,0)</f>
        <v>0</v>
      </c>
      <c r="G15" s="2"/>
      <c r="H15" s="5"/>
      <c r="I15" s="7"/>
      <c r="J15" s="2"/>
      <c r="K15" s="2"/>
      <c r="L15" s="2"/>
      <c r="M15" s="3"/>
      <c r="N15" s="3"/>
      <c r="O15" s="3"/>
      <c r="P15" s="3"/>
    </row>
    <row r="16" spans="1:16" ht="12.75">
      <c r="A16" s="1"/>
      <c r="B16" s="5">
        <v>1.4</v>
      </c>
      <c r="C16" s="2">
        <f>IF(Main!E11&lt;1.7,1,0)</f>
        <v>0</v>
      </c>
      <c r="D16" s="2"/>
      <c r="E16" s="5">
        <v>1.3</v>
      </c>
      <c r="F16" s="8">
        <v>0</v>
      </c>
      <c r="G16" s="2"/>
      <c r="H16" s="5"/>
      <c r="I16" s="7"/>
      <c r="J16" s="2"/>
      <c r="K16" s="2"/>
      <c r="L16" s="2"/>
      <c r="M16" s="3"/>
      <c r="N16" s="3"/>
      <c r="O16" s="3"/>
      <c r="P16" s="3"/>
    </row>
    <row r="17" spans="1:16" ht="12.75">
      <c r="A17" s="1"/>
      <c r="B17" s="5">
        <v>2.2</v>
      </c>
      <c r="C17" s="2">
        <f>IF(Main!E12&lt;1.7,1,0)</f>
        <v>0</v>
      </c>
      <c r="D17" s="2"/>
      <c r="E17" s="5">
        <v>2.1</v>
      </c>
      <c r="F17" s="2">
        <f>IF(Main!E67&lt;1.7,1,0)</f>
        <v>0</v>
      </c>
      <c r="G17" s="2"/>
      <c r="H17" s="5"/>
      <c r="I17" s="7"/>
      <c r="J17" s="2"/>
      <c r="K17" s="2"/>
      <c r="L17" s="2"/>
      <c r="M17" s="3"/>
      <c r="N17" s="3"/>
      <c r="O17" s="3"/>
      <c r="P17" s="3"/>
    </row>
    <row r="18" spans="1:16" ht="12.75">
      <c r="A18" s="1"/>
      <c r="B18" s="5">
        <v>3.1</v>
      </c>
      <c r="C18" s="2">
        <f>IF(Main!E15&lt;1.7,1,0)</f>
        <v>0</v>
      </c>
      <c r="D18" s="2"/>
      <c r="E18" s="5">
        <v>2.2</v>
      </c>
      <c r="F18" s="2">
        <f>IF(Main!E68&lt;1.7,1,0)</f>
        <v>0</v>
      </c>
      <c r="G18" s="2"/>
      <c r="H18" s="5"/>
      <c r="I18" s="7"/>
      <c r="J18" s="2"/>
      <c r="K18" s="2"/>
      <c r="L18" s="2"/>
      <c r="M18" s="3"/>
      <c r="N18" s="3"/>
      <c r="O18" s="3"/>
      <c r="P18" s="3"/>
    </row>
    <row r="19" spans="1:16" ht="12.75">
      <c r="A19" s="1"/>
      <c r="B19" s="5">
        <v>3.3</v>
      </c>
      <c r="C19" s="2">
        <f>IF(Main!E17&lt;1.7,1,0)</f>
        <v>0</v>
      </c>
      <c r="D19" s="2"/>
      <c r="E19" s="5">
        <v>2.3</v>
      </c>
      <c r="F19" s="8">
        <v>0</v>
      </c>
      <c r="G19" s="2"/>
      <c r="H19" s="5"/>
      <c r="I19" s="7"/>
      <c r="J19" s="2"/>
      <c r="K19" s="2"/>
      <c r="L19" s="2"/>
      <c r="M19" s="3"/>
      <c r="N19" s="3"/>
      <c r="O19" s="3"/>
      <c r="P19" s="3"/>
    </row>
    <row r="20" spans="1:16" ht="12.75">
      <c r="A20" s="1"/>
      <c r="B20" s="5">
        <v>3.4</v>
      </c>
      <c r="C20" s="2">
        <f>IF(Main!E18&lt;1.7,1,0)</f>
        <v>0</v>
      </c>
      <c r="D20" s="2"/>
      <c r="E20" s="5">
        <v>3.1</v>
      </c>
      <c r="F20" s="2">
        <f>IF(Main!E71&lt;1.7,1,0)</f>
        <v>0</v>
      </c>
      <c r="G20" s="2"/>
      <c r="H20" s="5"/>
      <c r="I20" s="7"/>
      <c r="J20" s="2"/>
      <c r="K20" s="2"/>
      <c r="L20" s="2"/>
      <c r="M20" s="3"/>
      <c r="N20" s="3"/>
      <c r="O20" s="3"/>
      <c r="P20" s="3"/>
    </row>
    <row r="21" spans="1:16" ht="12.75">
      <c r="A21" s="1"/>
      <c r="B21" s="5">
        <v>3.5</v>
      </c>
      <c r="C21" s="2">
        <f>IF(Main!E19&lt;1.7,1,0)</f>
        <v>0</v>
      </c>
      <c r="D21" s="2"/>
      <c r="E21" s="5">
        <v>3.2</v>
      </c>
      <c r="F21" s="2">
        <f>IF(Main!E72&lt;1.7,1,0)</f>
        <v>0</v>
      </c>
      <c r="G21" s="2"/>
      <c r="H21" s="5"/>
      <c r="I21" s="7"/>
      <c r="J21" s="2"/>
      <c r="K21" s="2"/>
      <c r="L21" s="2"/>
      <c r="M21" s="3"/>
      <c r="N21" s="3"/>
      <c r="O21" s="3"/>
      <c r="P21" s="3"/>
    </row>
    <row r="22" spans="1:16" ht="12.75">
      <c r="A22" s="1"/>
      <c r="B22" s="5">
        <v>3.6</v>
      </c>
      <c r="C22" s="2">
        <f>IF(Main!E20&lt;1.7,1,0)</f>
        <v>0</v>
      </c>
      <c r="D22" s="2"/>
      <c r="E22" s="5">
        <v>3.3</v>
      </c>
      <c r="F22" s="8">
        <v>0</v>
      </c>
      <c r="G22" s="2"/>
      <c r="H22" s="5"/>
      <c r="I22" s="7"/>
      <c r="J22" s="2"/>
      <c r="K22" s="2"/>
      <c r="L22" s="2"/>
      <c r="M22" s="3"/>
      <c r="N22" s="3"/>
      <c r="O22" s="3"/>
      <c r="P22" s="3"/>
    </row>
    <row r="23" spans="1:16" ht="12.75">
      <c r="A23" s="1"/>
      <c r="B23" s="5">
        <v>4.1</v>
      </c>
      <c r="C23" s="8">
        <v>0</v>
      </c>
      <c r="D23" s="2"/>
      <c r="E23" s="5">
        <v>4.1</v>
      </c>
      <c r="F23" s="2">
        <f>IF(Main!E75&lt;1.7,1,0)</f>
        <v>0</v>
      </c>
      <c r="G23" s="2"/>
      <c r="H23" s="5"/>
      <c r="I23" s="7"/>
      <c r="J23" s="2"/>
      <c r="K23" s="2"/>
      <c r="L23" s="2"/>
      <c r="M23" s="3"/>
      <c r="N23" s="3"/>
      <c r="O23" s="3"/>
      <c r="P23" s="3"/>
    </row>
    <row r="24" spans="1:16" ht="12.75">
      <c r="A24" s="1"/>
      <c r="B24" s="5">
        <v>4.2</v>
      </c>
      <c r="C24" s="8">
        <v>0</v>
      </c>
      <c r="D24" s="2"/>
      <c r="E24" s="5">
        <v>4.2</v>
      </c>
      <c r="F24" s="2">
        <f>IF(Main!E76&lt;1.7,1,0)</f>
        <v>0</v>
      </c>
      <c r="G24" s="2"/>
      <c r="H24" s="5"/>
      <c r="I24" s="7"/>
      <c r="J24" s="2"/>
      <c r="K24" s="2"/>
      <c r="L24" s="2"/>
      <c r="M24" s="3"/>
      <c r="N24" s="3"/>
      <c r="O24" s="3"/>
      <c r="P24" s="3"/>
    </row>
    <row r="25" spans="1:16" ht="12.75">
      <c r="A25" s="1"/>
      <c r="B25" s="5">
        <v>4.3</v>
      </c>
      <c r="C25" s="8">
        <v>0</v>
      </c>
      <c r="D25" s="2"/>
      <c r="E25" s="5">
        <v>4.3</v>
      </c>
      <c r="F25" s="8">
        <v>0</v>
      </c>
      <c r="G25" s="2"/>
      <c r="H25" s="5"/>
      <c r="I25" s="7"/>
      <c r="J25" s="2"/>
      <c r="K25" s="2"/>
      <c r="L25" s="2"/>
      <c r="M25" s="3"/>
      <c r="N25" s="3"/>
      <c r="O25" s="3"/>
      <c r="P25" s="3"/>
    </row>
    <row r="26" spans="1:16" ht="12.75">
      <c r="A26" s="1"/>
      <c r="B26" s="5">
        <v>4.4</v>
      </c>
      <c r="C26" s="8">
        <v>0</v>
      </c>
      <c r="D26" s="2"/>
      <c r="E26" s="5">
        <v>5.1</v>
      </c>
      <c r="F26" s="2">
        <f>IF(Main!E79&lt;1.7,1,0)</f>
        <v>0</v>
      </c>
      <c r="G26" s="2"/>
      <c r="H26" s="5"/>
      <c r="I26" s="7"/>
      <c r="J26" s="2"/>
      <c r="K26" s="2"/>
      <c r="L26" s="2"/>
      <c r="M26" s="3"/>
      <c r="N26" s="3"/>
      <c r="O26" s="3"/>
      <c r="P26" s="3"/>
    </row>
    <row r="27" spans="1:16" ht="12.75">
      <c r="A27" s="1"/>
      <c r="B27" s="5">
        <v>4.5</v>
      </c>
      <c r="C27" s="8">
        <v>0</v>
      </c>
      <c r="D27" s="2"/>
      <c r="E27" s="5">
        <v>5.2</v>
      </c>
      <c r="F27" s="2">
        <f>IF(Main!E80&lt;1.7,1,0)</f>
        <v>0</v>
      </c>
      <c r="G27" s="2"/>
      <c r="H27" s="5"/>
      <c r="I27" s="7"/>
      <c r="J27" s="2"/>
      <c r="K27" s="2"/>
      <c r="L27" s="2"/>
      <c r="M27" s="3"/>
      <c r="N27" s="3"/>
      <c r="O27" s="3"/>
      <c r="P27" s="3"/>
    </row>
    <row r="28" spans="1:16" ht="12.75">
      <c r="A28" s="1"/>
      <c r="B28" s="5">
        <v>4.6</v>
      </c>
      <c r="C28" s="8">
        <v>0</v>
      </c>
      <c r="D28" s="2"/>
      <c r="E28" s="5">
        <v>5.3</v>
      </c>
      <c r="F28" s="8">
        <v>0</v>
      </c>
      <c r="G28" s="2"/>
      <c r="H28" s="5"/>
      <c r="I28" s="7"/>
      <c r="J28" s="2"/>
      <c r="K28" s="2"/>
      <c r="L28" s="2"/>
      <c r="M28" s="3"/>
      <c r="N28" s="3"/>
      <c r="O28" s="3"/>
      <c r="P28" s="3"/>
    </row>
    <row r="29" spans="1:16" ht="12.75">
      <c r="A29" s="1"/>
      <c r="B29" s="5">
        <v>4.7</v>
      </c>
      <c r="C29" s="8">
        <v>0</v>
      </c>
      <c r="D29" s="2"/>
      <c r="E29" s="5">
        <v>6.1</v>
      </c>
      <c r="F29" s="2">
        <f>IF(Main!E83&lt;1.7,1,0)</f>
        <v>0</v>
      </c>
      <c r="G29" s="2"/>
      <c r="H29" s="5"/>
      <c r="I29" s="7"/>
      <c r="J29" s="2"/>
      <c r="K29" s="2"/>
      <c r="L29" s="2"/>
      <c r="M29" s="3"/>
      <c r="N29" s="3"/>
      <c r="O29" s="3"/>
      <c r="P29" s="3"/>
    </row>
    <row r="30" spans="1:16" ht="12.75">
      <c r="A30" s="1"/>
      <c r="B30" s="5">
        <v>4.8</v>
      </c>
      <c r="C30" s="8">
        <v>0</v>
      </c>
      <c r="D30" s="2"/>
      <c r="E30" s="5">
        <v>6.2</v>
      </c>
      <c r="F30" s="2">
        <f>IF(Main!E84&lt;1.7,1,0)</f>
        <v>0</v>
      </c>
      <c r="G30" s="2"/>
      <c r="H30" s="2"/>
      <c r="I30" s="2"/>
      <c r="J30" s="2"/>
      <c r="K30" s="2"/>
      <c r="L30" s="2"/>
      <c r="M30" s="3"/>
      <c r="N30" s="3"/>
      <c r="O30" s="3"/>
      <c r="P30" s="3"/>
    </row>
    <row r="31" spans="1:16" ht="12.75">
      <c r="A31" s="1"/>
      <c r="B31" s="5">
        <v>5.1</v>
      </c>
      <c r="C31" s="2">
        <f>IF(Main!E33&lt;1.7,1,0)</f>
        <v>0</v>
      </c>
      <c r="D31" s="2"/>
      <c r="E31" s="5">
        <v>6.3</v>
      </c>
      <c r="F31" s="8">
        <v>0</v>
      </c>
      <c r="G31" s="2"/>
      <c r="H31" s="2"/>
      <c r="I31" s="2"/>
      <c r="J31" s="2"/>
      <c r="K31" s="2"/>
      <c r="L31" s="2"/>
      <c r="M31" s="3"/>
      <c r="N31" s="3"/>
      <c r="O31" s="3"/>
      <c r="P31" s="3"/>
    </row>
    <row r="32" spans="1:16" ht="12.75">
      <c r="A32" s="1"/>
      <c r="B32" s="5">
        <v>5.2</v>
      </c>
      <c r="C32" s="2">
        <f>IF(Main!E34&lt;1.7,1,0)</f>
        <v>0</v>
      </c>
      <c r="D32" s="2"/>
      <c r="E32" s="5">
        <v>7.1</v>
      </c>
      <c r="F32" s="2">
        <f>IF(Main!E87&lt;1.7,1,0)</f>
        <v>0</v>
      </c>
      <c r="G32" s="2"/>
      <c r="H32" s="2"/>
      <c r="I32" s="2"/>
      <c r="J32" s="2"/>
      <c r="K32" s="2"/>
      <c r="L32" s="2"/>
      <c r="M32" s="3"/>
      <c r="N32" s="3"/>
      <c r="O32" s="3"/>
      <c r="P32" s="3"/>
    </row>
    <row r="33" spans="1:16" ht="12.75">
      <c r="A33" s="1"/>
      <c r="B33" s="5">
        <v>5.3</v>
      </c>
      <c r="C33" s="2">
        <f>IF(Main!E35&lt;1.7,1,0)</f>
        <v>0</v>
      </c>
      <c r="D33" s="2"/>
      <c r="E33" s="5">
        <v>7.2</v>
      </c>
      <c r="F33" s="2">
        <f>IF(Main!E88&lt;1.7,1,0)</f>
        <v>0</v>
      </c>
      <c r="G33" s="2"/>
      <c r="H33" s="2"/>
      <c r="I33" s="2"/>
      <c r="J33" s="2"/>
      <c r="K33" s="2"/>
      <c r="L33" s="2"/>
      <c r="M33" s="3"/>
      <c r="N33" s="3"/>
      <c r="O33" s="3"/>
      <c r="P33" s="3"/>
    </row>
    <row r="34" spans="1:16" ht="12.75">
      <c r="A34" s="1"/>
      <c r="B34" s="5">
        <v>5.4</v>
      </c>
      <c r="C34" s="2">
        <f>IF(Main!E36&lt;1.7,1,0)</f>
        <v>0</v>
      </c>
      <c r="D34" s="2"/>
      <c r="E34" s="5">
        <v>7.3</v>
      </c>
      <c r="F34" s="8">
        <v>0</v>
      </c>
      <c r="G34" s="2"/>
      <c r="H34" s="2"/>
      <c r="I34" s="2"/>
      <c r="J34" s="2"/>
      <c r="K34" s="2"/>
      <c r="L34" s="2"/>
      <c r="M34" s="3"/>
      <c r="N34" s="3"/>
      <c r="O34" s="3"/>
      <c r="P34" s="3"/>
    </row>
    <row r="35" spans="1:16" ht="12.75">
      <c r="A35" s="1"/>
      <c r="B35" s="2"/>
      <c r="C35" s="2">
        <f>SUM(C14:C34)</f>
        <v>0</v>
      </c>
      <c r="D35" s="2"/>
      <c r="E35" s="2"/>
      <c r="F35" s="2">
        <f>SUM(F14:F34)</f>
        <v>0</v>
      </c>
      <c r="G35" s="2">
        <f>F35+C35</f>
        <v>0</v>
      </c>
      <c r="H35" s="2"/>
      <c r="I35" s="2"/>
      <c r="J35" s="2"/>
      <c r="K35" s="2"/>
      <c r="L35" s="2"/>
      <c r="M35" s="3"/>
      <c r="N35" s="3"/>
      <c r="O35" s="3"/>
      <c r="P35" s="3"/>
    </row>
    <row r="36" spans="1:16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</row>
    <row r="37" spans="1:16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</row>
    <row r="38" spans="1:16" ht="12.75">
      <c r="A38" s="1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</row>
    <row r="39" spans="1:16" ht="12.75">
      <c r="A39" s="1" t="s">
        <v>28</v>
      </c>
      <c r="B39" s="2"/>
      <c r="C39" s="2"/>
      <c r="D39" s="2"/>
      <c r="E39" s="2"/>
      <c r="F39" s="2"/>
      <c r="G39" s="7">
        <f>SUM(Main!F41:F45)</f>
        <v>3</v>
      </c>
      <c r="H39" s="2"/>
      <c r="I39" s="2"/>
      <c r="J39" s="2"/>
      <c r="K39" s="2"/>
      <c r="L39" s="2"/>
      <c r="M39" s="3"/>
      <c r="N39" s="3"/>
      <c r="O39" s="3"/>
      <c r="P39" s="3"/>
    </row>
    <row r="40" spans="1:16" ht="12.75">
      <c r="A40" s="1" t="s">
        <v>49</v>
      </c>
      <c r="B40" s="2"/>
      <c r="C40" s="2"/>
      <c r="D40" s="2"/>
      <c r="E40" s="2"/>
      <c r="F40" s="2"/>
      <c r="G40" s="7">
        <f>IF(AND(G39&gt;=2.45,C35&gt;0),2.4,G39)</f>
        <v>3</v>
      </c>
      <c r="H40" s="2"/>
      <c r="I40" s="2"/>
      <c r="J40" s="2"/>
      <c r="K40" s="2"/>
      <c r="L40" s="2"/>
      <c r="M40" s="3"/>
      <c r="N40" s="3"/>
      <c r="O40" s="3"/>
      <c r="P40" s="3"/>
    </row>
    <row r="41" spans="1:16" ht="12.75">
      <c r="A41" s="1" t="s">
        <v>50</v>
      </c>
      <c r="B41" s="2"/>
      <c r="C41" s="2"/>
      <c r="D41" s="2"/>
      <c r="E41" s="2"/>
      <c r="F41" s="2"/>
      <c r="G41" s="7">
        <f>IF(N57&lt;3,N57,IF(OR(Main!I41&lt;2.5,ISTEXT(Main!I41)),2.9,3))</f>
        <v>3</v>
      </c>
      <c r="H41" s="2"/>
      <c r="I41" s="2"/>
      <c r="J41" s="2"/>
      <c r="K41" s="2"/>
      <c r="L41" s="2"/>
      <c r="M41" s="3"/>
      <c r="N41" s="3" t="s">
        <v>196</v>
      </c>
      <c r="O41" s="3" t="s">
        <v>51</v>
      </c>
      <c r="P41" s="3"/>
    </row>
    <row r="42" spans="1:16" ht="12.75">
      <c r="A42" s="1" t="s">
        <v>52</v>
      </c>
      <c r="B42" s="2"/>
      <c r="C42" s="2"/>
      <c r="D42" s="2"/>
      <c r="E42" s="2"/>
      <c r="F42" s="7" t="b">
        <f>IF(AND(G39&gt;=0.95,OR(Main!D41&lt;1,Main!D42&lt;1,Main!D43&lt;1,Main!D44&lt;1,Main!D45&lt;1)),1.4)</f>
        <v>0</v>
      </c>
      <c r="G42" s="2"/>
      <c r="H42" s="2"/>
      <c r="I42" s="2" t="s">
        <v>53</v>
      </c>
      <c r="J42" s="2"/>
      <c r="K42" s="2"/>
      <c r="L42" s="2"/>
      <c r="M42" s="3">
        <f>IF(F$35=0,G40)</f>
        <v>3</v>
      </c>
      <c r="N42" s="3">
        <v>0</v>
      </c>
      <c r="O42" s="3">
        <v>3</v>
      </c>
      <c r="P42" s="3"/>
    </row>
    <row r="43" spans="1:16" ht="12.75">
      <c r="A43" s="1"/>
      <c r="B43" s="2"/>
      <c r="C43" s="2"/>
      <c r="D43" s="2"/>
      <c r="E43" s="2"/>
      <c r="F43" s="7" t="b">
        <f>IF(OR(AND(Main!D41&gt;=1,Main!D41&lt;1.1),AND(Main!D42&gt;=1,Main!D42&lt;1.1),AND(Main!D43&gt;=1,Main!D43&lt;1.1),AND(Main!D44&gt;=1,Main!D44&lt;1.1),AND(Main!D45&gt;=1,Main!D45&lt;1.1)),1.5)</f>
        <v>0</v>
      </c>
      <c r="G43" s="2"/>
      <c r="H43" s="2"/>
      <c r="I43" s="2"/>
      <c r="J43" s="2"/>
      <c r="K43" s="2"/>
      <c r="L43" s="2"/>
      <c r="M43" s="3" t="b">
        <f>IF(AND(F$35=N43,G$40&gt;=$O43),$O43)</f>
        <v>0</v>
      </c>
      <c r="N43" s="3">
        <v>1</v>
      </c>
      <c r="O43" s="3">
        <v>2.4</v>
      </c>
      <c r="P43" s="3"/>
    </row>
    <row r="44" spans="1:16" ht="12.75">
      <c r="A44" s="1"/>
      <c r="B44" s="2"/>
      <c r="C44" s="2"/>
      <c r="D44" s="2"/>
      <c r="E44" s="2"/>
      <c r="F44" s="7" t="b">
        <f>IF(OR(AND(Main!D41&gt;=1.1,Main!D41&lt;1.2),AND(Main!D42&gt;=1.1,Main!D42&lt;1.2),AND(Main!D43&gt;=1.1,Main!D43&lt;1.2),AND(Main!D44&gt;=1.1,Main!D44&lt;1.2),AND(Main!D45&gt;=1.1,Main!D45&lt;1.2)),1.6)</f>
        <v>0</v>
      </c>
      <c r="G44" s="2"/>
      <c r="H44" s="2"/>
      <c r="I44" s="2"/>
      <c r="J44" s="2"/>
      <c r="K44" s="2"/>
      <c r="L44" s="2"/>
      <c r="M44" s="3" t="b">
        <f aca="true" t="shared" si="0" ref="M44:M56">IF(AND(F$35=N44,G$40&gt;=$O44),$O44)</f>
        <v>0</v>
      </c>
      <c r="N44" s="3">
        <v>2</v>
      </c>
      <c r="O44" s="3">
        <v>2.3</v>
      </c>
      <c r="P44" s="3"/>
    </row>
    <row r="45" spans="1:16" ht="12.75">
      <c r="A45" s="1"/>
      <c r="B45" s="2"/>
      <c r="C45" s="2"/>
      <c r="D45" s="2"/>
      <c r="E45" s="2"/>
      <c r="F45" s="7" t="b">
        <f>IF(OR(AND(Main!D41&gt;=1.2,Main!D41&lt;1.3),AND(Main!D42&gt;=1.2,Main!D42&lt;1.3),AND(Main!D43&gt;=1.2,Main!D43&lt;1.3),AND(Main!D44&gt;=1.2,Main!D44&lt;1.3),AND(Main!D45&gt;=1.2,Main!D45&lt;1.3)),1.7)</f>
        <v>0</v>
      </c>
      <c r="G45" s="2"/>
      <c r="H45" s="2"/>
      <c r="I45" s="2"/>
      <c r="J45" s="2"/>
      <c r="K45" s="2"/>
      <c r="L45" s="2"/>
      <c r="M45" s="3" t="b">
        <f t="shared" si="0"/>
        <v>0</v>
      </c>
      <c r="N45" s="3">
        <v>3</v>
      </c>
      <c r="O45" s="3">
        <v>2.1</v>
      </c>
      <c r="P45" s="3"/>
    </row>
    <row r="46" spans="1:16" ht="12.75">
      <c r="A46" s="1"/>
      <c r="B46" s="2"/>
      <c r="C46" s="2"/>
      <c r="D46" s="2"/>
      <c r="E46" s="2"/>
      <c r="F46" s="7" t="b">
        <f>IF(OR(AND(Main!D41&gt;=1.3,Main!D41&lt;1.4),AND(Main!D42&gt;=1.3,Main!D42&lt;1.4),AND(Main!D43&gt;=1.3,Main!D43&lt;1.4),AND(Main!D44&gt;=1.3,Main!D44&lt;1.4),AND(Main!D45&gt;=1.3,Main!D45&lt;1.4)),1.8)</f>
        <v>0</v>
      </c>
      <c r="G46" s="2"/>
      <c r="H46" s="2"/>
      <c r="I46" s="2"/>
      <c r="J46" s="2"/>
      <c r="K46" s="2"/>
      <c r="L46" s="2"/>
      <c r="M46" s="3" t="b">
        <f t="shared" si="0"/>
        <v>0</v>
      </c>
      <c r="N46" s="3">
        <v>4</v>
      </c>
      <c r="O46" s="3">
        <v>2</v>
      </c>
      <c r="P46" s="3"/>
    </row>
    <row r="47" spans="1:16" ht="12.75">
      <c r="A47" s="1"/>
      <c r="B47" s="2"/>
      <c r="C47" s="2"/>
      <c r="D47" s="2"/>
      <c r="E47" s="2"/>
      <c r="F47" s="7" t="b">
        <f>IF(OR(AND(Main!D41&gt;=1.4,Main!D41&lt;1.5),AND(Main!D42&gt;=1.4,Main!D42&lt;1.5),AND(Main!D43&gt;=1.4,Main!D43&lt;1.5),AND(Main!D44&gt;=1.4,Main!D44&lt;1.5),AND(Main!D45&gt;=1.4,Main!D45&lt;1.5)),1.9)</f>
        <v>0</v>
      </c>
      <c r="G47" s="2"/>
      <c r="H47" s="2"/>
      <c r="I47" s="2"/>
      <c r="J47" s="2"/>
      <c r="K47" s="2"/>
      <c r="L47" s="2"/>
      <c r="M47" s="3" t="b">
        <f t="shared" si="0"/>
        <v>0</v>
      </c>
      <c r="N47" s="3">
        <v>5</v>
      </c>
      <c r="O47" s="3">
        <v>1.9</v>
      </c>
      <c r="P47" s="3"/>
    </row>
    <row r="48" spans="1:16" ht="12.75">
      <c r="A48" s="1"/>
      <c r="B48" s="2"/>
      <c r="C48" s="2"/>
      <c r="D48" s="2"/>
      <c r="E48" s="2"/>
      <c r="F48" s="7" t="b">
        <f>IF(OR(AND(Main!D41&gt;=1.5,Main!D41&lt;1.6),AND(Main!D42&gt;=1.5,Main!D42&lt;1.6),AND(Main!D43&gt;=1.5,Main!D43&lt;1.6),AND(Main!D44&gt;=1.5,Main!D44&lt;1.6),AND(Main!D45&gt;=1.5,Main!D45&lt;1.6)),2)</f>
        <v>0</v>
      </c>
      <c r="G48" s="2"/>
      <c r="H48" s="2"/>
      <c r="I48" s="2"/>
      <c r="J48" s="2"/>
      <c r="K48" s="2"/>
      <c r="L48" s="2"/>
      <c r="M48" s="3" t="b">
        <f t="shared" si="0"/>
        <v>0</v>
      </c>
      <c r="N48" s="3">
        <v>6</v>
      </c>
      <c r="O48" s="3">
        <v>1.7</v>
      </c>
      <c r="P48" s="3"/>
    </row>
    <row r="49" spans="1:16" ht="12.75">
      <c r="A49" s="1"/>
      <c r="B49" s="2"/>
      <c r="C49" s="2"/>
      <c r="D49" s="2"/>
      <c r="E49" s="2"/>
      <c r="F49" s="7" t="b">
        <f>IF(OR(AND(Main!D41&gt;=1.6,Main!D41&lt;1.7),AND(Main!D42&gt;=1.6,Main!D42&lt;1.7),AND(Main!D43&gt;=1.6,Main!D43&lt;1.7),AND(Main!D44&gt;=1.6,Main!D44&lt;1.7),AND(Main!D45&gt;=1.6,Main!D45&lt;1.7)),2.1)</f>
        <v>0</v>
      </c>
      <c r="G49" s="2"/>
      <c r="H49" s="2"/>
      <c r="I49" s="2"/>
      <c r="J49" s="2"/>
      <c r="K49" s="2"/>
      <c r="L49" s="2"/>
      <c r="M49" s="3" t="b">
        <f t="shared" si="0"/>
        <v>0</v>
      </c>
      <c r="N49" s="3">
        <v>7</v>
      </c>
      <c r="O49" s="3">
        <v>1.4</v>
      </c>
      <c r="P49" s="3"/>
    </row>
    <row r="50" spans="1:16" ht="12.75">
      <c r="A50" s="1"/>
      <c r="B50" s="2"/>
      <c r="C50" s="2"/>
      <c r="D50" s="2"/>
      <c r="E50" s="2"/>
      <c r="F50" s="7" t="b">
        <f>IF(OR(AND(Main!D41&gt;=1.7,Main!D41&lt;1.8),AND(Main!D42&gt;=1.7,Main!D42&lt;1.8),AND(Main!D43&gt;=1.7,Main!D43&lt;1.8),AND(Main!D44&gt;=1.7,Main!D44&lt;1.8),AND(Main!D45&gt;=1.7,Main!D45&lt;1.8)),2.2)</f>
        <v>0</v>
      </c>
      <c r="G50" s="2"/>
      <c r="H50" s="2"/>
      <c r="I50" s="2"/>
      <c r="J50" s="2"/>
      <c r="K50" s="2"/>
      <c r="L50" s="2"/>
      <c r="M50" s="3" t="b">
        <f t="shared" si="0"/>
        <v>0</v>
      </c>
      <c r="N50" s="3">
        <v>8</v>
      </c>
      <c r="O50" s="3">
        <v>1.3</v>
      </c>
      <c r="P50" s="3"/>
    </row>
    <row r="51" spans="1:16" ht="12.75">
      <c r="A51" s="1"/>
      <c r="B51" s="2"/>
      <c r="C51" s="2"/>
      <c r="D51" s="2"/>
      <c r="E51" s="2"/>
      <c r="F51" s="7" t="b">
        <f>IF(OR(AND(Main!D41&gt;=1.8,Main!D41&lt;1.9),AND(Main!D42&gt;=1.8,Main!D42&lt;1.9),AND(Main!D43&gt;=1.8,Main!D43&lt;1.9),AND(Main!D44&gt;=1.8,Main!D44&lt;1.9),AND(Main!D45&gt;=1.8,Main!D45&lt;1.9)),2.3)</f>
        <v>0</v>
      </c>
      <c r="G51" s="2"/>
      <c r="H51" s="2"/>
      <c r="I51" s="2"/>
      <c r="J51" s="2"/>
      <c r="K51" s="2"/>
      <c r="L51" s="2"/>
      <c r="M51" s="3" t="b">
        <f t="shared" si="0"/>
        <v>0</v>
      </c>
      <c r="N51" s="3">
        <v>9</v>
      </c>
      <c r="O51" s="3">
        <v>1.2</v>
      </c>
      <c r="P51" s="3"/>
    </row>
    <row r="52" spans="1:16" ht="12.75">
      <c r="A52" s="1"/>
      <c r="B52" s="2"/>
      <c r="C52" s="2"/>
      <c r="D52" s="2"/>
      <c r="E52" s="2"/>
      <c r="F52" s="7" t="b">
        <f>IF(OR(AND(Main!D41&gt;=1.9,Main!D41&lt;2),AND(Main!D42&gt;=1.9,Main!D42&lt;2),AND(Main!D43&gt;=1.9,Main!D43&lt;2),AND(Main!D44&gt;=1.9,Main!D44&lt;2),AND(Main!D45&gt;=1.9,Main!D45&lt;2)),2.4)</f>
        <v>0</v>
      </c>
      <c r="G52" s="2"/>
      <c r="H52" s="2"/>
      <c r="I52" s="2"/>
      <c r="J52" s="2"/>
      <c r="K52" s="2"/>
      <c r="L52" s="2"/>
      <c r="M52" s="3" t="b">
        <f t="shared" si="0"/>
        <v>0</v>
      </c>
      <c r="N52" s="3">
        <v>10</v>
      </c>
      <c r="O52" s="3">
        <v>1.1</v>
      </c>
      <c r="P52" s="3"/>
    </row>
    <row r="53" spans="1:16" ht="12.75">
      <c r="A53" s="1"/>
      <c r="B53" s="2"/>
      <c r="C53" s="2"/>
      <c r="D53" s="2"/>
      <c r="E53" s="2"/>
      <c r="F53" s="7" t="b">
        <f>IF(OR(AND(Main!D42&gt;=2,Main!D42&lt;2.7),AND(Main!D43&gt;=2,Main!D43&lt;2.7),AND(Main!D44&gt;=2,Main!D44&lt;2.7),AND(Main!D45&gt;=2,Main!D45&lt;2.7),AND(Main!D41&gt;=2,Main!D41&lt;2.7)),2.9)</f>
        <v>0</v>
      </c>
      <c r="G53" s="2"/>
      <c r="H53" s="2"/>
      <c r="I53" s="2"/>
      <c r="J53" s="2"/>
      <c r="K53" s="2"/>
      <c r="L53" s="2"/>
      <c r="M53" s="3" t="b">
        <f t="shared" si="0"/>
        <v>0</v>
      </c>
      <c r="N53" s="3">
        <v>11</v>
      </c>
      <c r="O53" s="3">
        <v>1</v>
      </c>
      <c r="P53" s="3"/>
    </row>
    <row r="54" spans="1:16" ht="12.75">
      <c r="A54" s="1"/>
      <c r="B54" s="2"/>
      <c r="C54" s="2"/>
      <c r="D54" s="2"/>
      <c r="E54" s="2"/>
      <c r="F54" s="7">
        <f>IF(AND(G40&gt;=2.95,Main!D41&gt;=2.7,Main!D42&gt;=2.7,Main!D43&gt;=2.7,Main!D44&gt;=2.7,Main!D45&gt;=2.7),3)</f>
        <v>3</v>
      </c>
      <c r="G54" s="2"/>
      <c r="H54" s="2"/>
      <c r="I54" s="2"/>
      <c r="J54" s="2"/>
      <c r="K54" s="2"/>
      <c r="L54" s="2"/>
      <c r="M54" s="3" t="b">
        <f t="shared" si="0"/>
        <v>0</v>
      </c>
      <c r="N54" s="3">
        <v>12</v>
      </c>
      <c r="O54" s="3">
        <v>1</v>
      </c>
      <c r="P54" s="3"/>
    </row>
    <row r="55" spans="1:16" ht="12.75">
      <c r="A55" s="1" t="s">
        <v>54</v>
      </c>
      <c r="B55" s="2"/>
      <c r="C55" s="2"/>
      <c r="D55" s="2"/>
      <c r="E55" s="2"/>
      <c r="F55" s="2"/>
      <c r="G55" s="7">
        <f>IF(AND(SUM(F42:F54)&gt;0,MIN(F42:F54)&lt;G41),MIN(F42:F54),G41)</f>
        <v>3</v>
      </c>
      <c r="H55" s="2"/>
      <c r="I55" s="2"/>
      <c r="J55" s="2"/>
      <c r="K55" s="2"/>
      <c r="L55" s="2"/>
      <c r="M55" s="3" t="b">
        <f t="shared" si="0"/>
        <v>0</v>
      </c>
      <c r="N55" s="3">
        <v>13</v>
      </c>
      <c r="O55" s="3">
        <v>1</v>
      </c>
      <c r="P55" s="3"/>
    </row>
    <row r="56" spans="1:16" ht="12.75">
      <c r="A56" s="1"/>
      <c r="B56" s="2"/>
      <c r="C56" s="2"/>
      <c r="D56" s="2"/>
      <c r="E56" s="2"/>
      <c r="F56" s="2"/>
      <c r="G56" s="5"/>
      <c r="H56" s="2"/>
      <c r="I56" s="2"/>
      <c r="J56" s="2"/>
      <c r="K56" s="2"/>
      <c r="L56" s="2"/>
      <c r="M56" s="3" t="b">
        <f t="shared" si="0"/>
        <v>0</v>
      </c>
      <c r="N56" s="3">
        <v>14</v>
      </c>
      <c r="O56" s="3">
        <v>1</v>
      </c>
      <c r="P56" s="3"/>
    </row>
    <row r="57" spans="1:16" ht="12.75">
      <c r="A57" s="289" t="s">
        <v>84</v>
      </c>
      <c r="B57" s="290"/>
      <c r="C57" s="2" t="b">
        <f>IF(G55&lt;0.95,H57,IF(AND((G55&gt;=0.95),AND(G55&lt;1.45)),H58,IF(AND((G55&gt;=1.45),AND(G55&lt;1.55)),H59,IF(AND((G55&gt;=1.55),AND(G55&lt;1.65)),H60,IF(AND((G55&gt;=1.65),AND(G55&lt;1.75)),H61,IF(AND((G55&gt;=1.75),AND(G55&lt;1.85)),H62))))))</f>
        <v>0</v>
      </c>
      <c r="D57" s="2" t="b">
        <f>IF(G55&lt;0.95,G57,IF(AND((G55&gt;=0.95),AND(G55&lt;1.45)),G58,IF(AND((G55&gt;=1.45),AND(G55&lt;1.55)),G59,IF(AND((G55&gt;=1.55),AND(G55&lt;1.65)),G60,IF(AND((G55&gt;=1.65),AND(G55&lt;1.75)),G61,IF(AND((G55&gt;=1.75),AND(G55&lt;1.85)),G62))))))</f>
        <v>0</v>
      </c>
      <c r="F57" s="9" t="s">
        <v>96</v>
      </c>
      <c r="G57" s="2" t="b">
        <f>IF(G55&lt;0.95,"  ")</f>
        <v>0</v>
      </c>
      <c r="H57" s="2" t="b">
        <f>IF(G55&lt;0.95,"6 mth Suspension")</f>
        <v>0</v>
      </c>
      <c r="I57" s="2"/>
      <c r="J57" s="2"/>
      <c r="K57" s="2"/>
      <c r="L57" s="2"/>
      <c r="M57" s="3"/>
      <c r="N57" s="7">
        <f>IF(SUM(M42:M56)=0,G40,SUM(M42:M56))</f>
        <v>3</v>
      </c>
      <c r="O57" s="3"/>
      <c r="P57" s="3"/>
    </row>
    <row r="58" spans="1:16" ht="12.75">
      <c r="A58" s="290"/>
      <c r="B58" s="290"/>
      <c r="C58" s="2" t="b">
        <f>IF(AND((G55&gt;=1.85),AND(G55&lt;1.95)),H63,IF(AND((G55&gt;=1.95),AND(G55&lt;2.05)),H64,IF(AND((G55&gt;=2.05),AND(G55&lt;2.15)),H65,IF(AND((G55&gt;=2.15),AND(G55&lt;2.25)),H66,IF(AND((G55&gt;=2.25),AND(G55&lt;2.35)),H67)))))</f>
        <v>0</v>
      </c>
      <c r="D58" s="2" t="b">
        <f>IF(AND((G55&gt;=1.85),AND(G55&lt;1.95)),G63,IF(AND((G55&gt;=1.95),AND(G55&lt;2.05)),G64,IF(AND((G55&gt;=2.05),AND(G55&lt;2.15)),G65,IF(AND((G55&gt;=2.15),AND(G55&lt;2.25)),G66,IF(AND((G55&gt;=2.25),AND(G55&lt;2.35)),G67)))))</f>
        <v>0</v>
      </c>
      <c r="F58" s="9" t="s">
        <v>97</v>
      </c>
      <c r="G58" s="2" t="b">
        <f>IF(AND((G55&gt;=0.95),AND(G55&lt;1.45)),(Main!I3+(30.43803*2)))</f>
        <v>0</v>
      </c>
      <c r="H58" s="2" t="b">
        <f>IF(AND((G55&gt;=0.95),AND(G55&lt;1.45)),"2 mth Full Review")</f>
        <v>0</v>
      </c>
      <c r="I58" s="2"/>
      <c r="J58" s="2"/>
      <c r="K58" s="2"/>
      <c r="L58" s="2"/>
      <c r="M58" s="3"/>
      <c r="N58" s="3"/>
      <c r="O58" s="3"/>
      <c r="P58" s="3"/>
    </row>
    <row r="59" spans="1:16" ht="12.75">
      <c r="A59" s="3"/>
      <c r="B59" s="3"/>
      <c r="C59" s="3" t="b">
        <f>IF(AND((G55&gt;=2.35),AND(G55&lt;2.45)),H68,IF(AND((G55&gt;=2.45),AND(G55&lt;2.55)),H69,IF(AND((G55&gt;=2.55),AND(G55&lt;2.65)),H70,IF(AND((G55&gt;=2.65),AND(G55&lt;2.75)),H71,IF(AND((G55&gt;=2.75),AND(G55&lt;2.85)),H72)))))</f>
        <v>0</v>
      </c>
      <c r="D59" s="3" t="b">
        <f>IF(AND((G55&gt;=2.35),AND(G55&lt;2.45)),G68,IF(AND((G55&gt;=2.45),AND(G55&lt;2.55)),G69,IF(AND((G55&gt;=2.55),AND(G55&lt;2.65)),G70,IF(AND((G55&gt;=2.65),AND(G55&lt;2.75)),G71,IF(AND((G55&gt;=2.75),AND(G55&lt;2.85)),G72)))))</f>
        <v>0</v>
      </c>
      <c r="E59" s="3"/>
      <c r="F59" s="10" t="s">
        <v>98</v>
      </c>
      <c r="G59" s="3" t="b">
        <f>IF(AND((G55&gt;=1.45),AND(G55&lt;1.55)),(Main!I3+(30.43803*6)))</f>
        <v>0</v>
      </c>
      <c r="H59" s="3" t="b">
        <f>IF(AND((G55&gt;=1.45),AND(G55&lt;1.55)),"6 months")</f>
        <v>0</v>
      </c>
      <c r="I59" s="3"/>
      <c r="J59" s="3"/>
      <c r="K59" s="3"/>
      <c r="L59" s="3"/>
      <c r="M59" s="3"/>
      <c r="N59" s="3"/>
      <c r="O59" s="3"/>
      <c r="P59" s="3"/>
    </row>
    <row r="60" spans="3:8" ht="12.75">
      <c r="C60" s="3" t="str">
        <f>IF(AND((G55&gt;=2.85),AND(G55&lt;2.95)),H73,IF(AND((G55&gt;=2.95),AND(G55&lt;3.05)),H74))</f>
        <v>24 months</v>
      </c>
      <c r="D60" s="11">
        <f>IF(AND((G55&gt;=2.85),AND(G55&lt;2.95)),G73,IF(AND((G55&gt;=2.95),AND(G55&lt;3.05)),G74))</f>
        <v>730.5127200000001</v>
      </c>
      <c r="F60" s="10" t="s">
        <v>99</v>
      </c>
      <c r="G60" s="3" t="b">
        <f>IF(AND((G55&gt;=1.55),AND(G55&lt;1.65)),(Main!I3+(30.43803*7)))</f>
        <v>0</v>
      </c>
      <c r="H60" t="b">
        <f>IF(AND((G55&gt;=1.55),AND(G55&lt;1.65)),"7 months")</f>
        <v>0</v>
      </c>
    </row>
    <row r="61" spans="4:8" ht="12.75">
      <c r="D61" s="3"/>
      <c r="G61" s="3" t="b">
        <f>IF(AND((G55&gt;=1.65),AND(G55&lt;1.75)),(Main!I3+(30.43803*8)))</f>
        <v>0</v>
      </c>
      <c r="H61" t="b">
        <f>IF(AND((G55&gt;=1.65),AND(G55&lt;1.75)),"8 months")</f>
        <v>0</v>
      </c>
    </row>
    <row r="62" spans="3:8" ht="12.75">
      <c r="C62" t="s">
        <v>100</v>
      </c>
      <c r="D62" s="3"/>
      <c r="G62" s="3" t="b">
        <f>IF(AND((G55&gt;=1.75),AND(G55&lt;1.85)),(Main!I3+(30.43803*9)))</f>
        <v>0</v>
      </c>
      <c r="H62" t="b">
        <f>IF(AND((G55&gt;=1.75),AND(G55&lt;1.85)),"9 months")</f>
        <v>0</v>
      </c>
    </row>
    <row r="63" spans="3:8" ht="12.75">
      <c r="C63" s="3" t="str">
        <f>IF(AND((G55&gt;=0),AND(G55&lt;1.85)),C57,IF(AND((G55&gt;=1.85),AND(G55&lt;2.35)),C58,IF(AND((G55&gt;=2.35),AND(G55&lt;2.85)),C59,IF(AND((G55&gt;=2.85),AND(G55&lt;3.05)),C60))))</f>
        <v>24 months</v>
      </c>
      <c r="D63" s="11">
        <f>IF(AND((G55&gt;=0),AND(G55&lt;1.85)),D57,IF(AND((G55&gt;=1.85),AND(G55&lt;2.35)),D58,IF(AND((G55&gt;=2.35),AND(G55&lt;2.85)),D59,IF(AND((G55&gt;=2.85),AND(G55&lt;3.05)),D60))))</f>
        <v>730.5127200000001</v>
      </c>
      <c r="G63" s="3" t="b">
        <f>IF(AND((G55&gt;=1.85),AND(G55&lt;1.95)),(Main!I3+(30.43803*10)))</f>
        <v>0</v>
      </c>
      <c r="H63" t="b">
        <f>IF(AND((G55&gt;=1.85),AND(G55&lt;1.95)),"10 months")</f>
        <v>0</v>
      </c>
    </row>
    <row r="64" spans="7:8" ht="12.75">
      <c r="G64" s="3" t="b">
        <f>IF(AND((G55&gt;=1.95),AND(G55&lt;2.05)),(Main!I3+(30.43803*12)))</f>
        <v>0</v>
      </c>
      <c r="H64" t="b">
        <f>IF(AND((G55&gt;=1.95),AND(G55&lt;2.05)),"12 months")</f>
        <v>0</v>
      </c>
    </row>
    <row r="65" spans="7:8" ht="12.75">
      <c r="G65" s="3" t="b">
        <f>IF(AND((G55&gt;=2.05),AND(G55&lt;2.15)),(Main!I3+(30.43803*13)))</f>
        <v>0</v>
      </c>
      <c r="H65" t="b">
        <f>IF(AND((G55&gt;=2.05),AND(G55&lt;2.15)),"13 months")</f>
        <v>0</v>
      </c>
    </row>
    <row r="66" spans="7:8" ht="12.75">
      <c r="G66" s="3" t="b">
        <f>IF(AND((G55&gt;=2.15),AND(G55&lt;2.25)),(Main!I3+(30.43803*15)))</f>
        <v>0</v>
      </c>
      <c r="H66" t="b">
        <f>IF(AND((G55&gt;=2.15),AND(G55&lt;2.25)),"15 months")</f>
        <v>0</v>
      </c>
    </row>
    <row r="67" spans="7:8" ht="12.75">
      <c r="G67" s="3" t="b">
        <f>IF(AND((G55&gt;=2.25),AND(G55&lt;2.35)),(Main!I3+(30.43803*16)))</f>
        <v>0</v>
      </c>
      <c r="H67" t="b">
        <f>IF(AND((G55&gt;=2.25),AND(G55&lt;2.35)),"16 months")</f>
        <v>0</v>
      </c>
    </row>
    <row r="68" spans="7:8" ht="12.75">
      <c r="G68" s="3" t="b">
        <f>IF(AND((G55&gt;=2.35),AND(G55&lt;2.45)),(Main!I3+(30.43803*17)))</f>
        <v>0</v>
      </c>
      <c r="H68" t="b">
        <f>IF(AND((G55&gt;=2.35),AND(G55&lt;2.45)),"17 months")</f>
        <v>0</v>
      </c>
    </row>
    <row r="69" spans="7:8" ht="12.75">
      <c r="G69" s="3" t="b">
        <f>IF(AND((G55&gt;=2.45),AND(G55&lt;2.55)),(Main!I3+(30.43803*18)))</f>
        <v>0</v>
      </c>
      <c r="H69" t="b">
        <f>IF(AND((G55&gt;=2.45),AND(G55&lt;2.55)),"18 months")</f>
        <v>0</v>
      </c>
    </row>
    <row r="70" spans="7:8" ht="12.75">
      <c r="G70" s="3" t="b">
        <f>IF(AND((G55&gt;=2.55),AND(G55&lt;2.65)),(Main!I3+(30.43803*19)))</f>
        <v>0</v>
      </c>
      <c r="H70" t="b">
        <f>IF(AND((G55&gt;=2.55),AND(G55&lt;2.65)),"19 months")</f>
        <v>0</v>
      </c>
    </row>
    <row r="71" spans="7:8" ht="12.75">
      <c r="G71" s="3" t="b">
        <f>IF(AND((G55&gt;=2.65),AND(G55&lt;2.75)),(Main!I3+(30.43803*20)))</f>
        <v>0</v>
      </c>
      <c r="H71" t="b">
        <f>IF(AND((G55&gt;=2.65),AND(G55&lt;2.75)),"20 months")</f>
        <v>0</v>
      </c>
    </row>
    <row r="72" spans="7:8" ht="12.75">
      <c r="G72" s="3" t="b">
        <f>IF(AND((G55&gt;=2.75),AND(G55&lt;2.85)),(Main!I3+(30.43803*22)))</f>
        <v>0</v>
      </c>
      <c r="H72" t="b">
        <f>IF(AND((G55&gt;=2.75),AND(G55&lt;2.85)),"22 months")</f>
        <v>0</v>
      </c>
    </row>
    <row r="73" spans="7:8" ht="12.75">
      <c r="G73" s="3" t="b">
        <f>IF(AND((G55&gt;=2.85),AND(G55&lt;2.95)),(Main!I3+(30.43803*23)))</f>
        <v>0</v>
      </c>
      <c r="H73" t="b">
        <f>IF(AND((G55&gt;=2.85),AND(G55&lt;2.95)),"23 months")</f>
        <v>0</v>
      </c>
    </row>
    <row r="74" spans="7:8" ht="12.75">
      <c r="G74" s="11">
        <f>IF(AND((G55&gt;=2.95),AND(G55&lt;3.05)),(Main!I3+(30.43803*24)))</f>
        <v>730.5127200000001</v>
      </c>
      <c r="H74" t="str">
        <f>IF(AND((G55&gt;=2.95),AND(G55&lt;3.05)),"24 months")</f>
        <v>24 months</v>
      </c>
    </row>
  </sheetData>
  <sheetProtection password="DD15" sheet="1" objects="1" scenarios="1" selectLockedCells="1"/>
  <mergeCells count="1">
    <mergeCell ref="A57:B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Bullock, Russell Brown</dc:creator>
  <cp:keywords/>
  <dc:description/>
  <cp:lastModifiedBy>TobyB</cp:lastModifiedBy>
  <cp:lastPrinted>2009-08-31T20:40:15Z</cp:lastPrinted>
  <dcterms:created xsi:type="dcterms:W3CDTF">2003-06-04T04:11:13Z</dcterms:created>
  <dcterms:modified xsi:type="dcterms:W3CDTF">2009-08-31T20:40:29Z</dcterms:modified>
  <cp:category/>
  <cp:version/>
  <cp:contentType/>
  <cp:contentStatus/>
</cp:coreProperties>
</file>